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codeName="TämäTyökirja"/>
  <bookViews>
    <workbookView xWindow="0" yWindow="60" windowWidth="20490" windowHeight="7095"/>
  </bookViews>
  <sheets>
    <sheet name="hyöty-vahinkoarviot" sheetId="3" r:id="rId1"/>
    <sheet name="lähtötiedot" sheetId="1" r:id="rId2"/>
    <sheet name="kustannus-hyötyarviot" sheetId="5" r:id="rId3"/>
    <sheet name="Sheet4" sheetId="4" state="hidden" r:id="rId4"/>
  </sheets>
  <calcPr calcId="145621"/>
</workbook>
</file>

<file path=xl/calcChain.xml><?xml version="1.0" encoding="utf-8"?>
<calcChain xmlns="http://schemas.openxmlformats.org/spreadsheetml/2006/main">
  <c r="H10" i="3" l="1"/>
  <c r="H28" i="5"/>
  <c r="AO6" i="4"/>
  <c r="AP6" i="4"/>
  <c r="AQ6" i="4"/>
  <c r="AR6" i="4"/>
  <c r="AS6" i="4"/>
  <c r="AT6" i="4"/>
  <c r="AU6" i="4"/>
  <c r="AV6" i="4"/>
  <c r="AO7" i="4"/>
  <c r="AP7" i="4"/>
  <c r="AQ7" i="4"/>
  <c r="AR7" i="4"/>
  <c r="AS7" i="4"/>
  <c r="AT7" i="4"/>
  <c r="AU7" i="4"/>
  <c r="AV7" i="4"/>
  <c r="AO8" i="4"/>
  <c r="AP8" i="4"/>
  <c r="AQ8" i="4"/>
  <c r="AR8" i="4"/>
  <c r="AS8" i="4"/>
  <c r="AT8" i="4"/>
  <c r="AU8" i="4"/>
  <c r="AV8" i="4"/>
  <c r="AR9" i="4"/>
  <c r="AS9" i="4"/>
  <c r="AT9" i="4"/>
  <c r="AU9" i="4"/>
  <c r="AV9" i="4"/>
  <c r="AO10" i="4"/>
  <c r="AP10" i="4"/>
  <c r="AQ10" i="4"/>
  <c r="AR10" i="4"/>
  <c r="AS10" i="4"/>
  <c r="AT10" i="4"/>
  <c r="AU10" i="4"/>
  <c r="AV10" i="4"/>
  <c r="AO11" i="4"/>
  <c r="AP11" i="4"/>
  <c r="AQ11" i="4"/>
  <c r="AR11" i="4"/>
  <c r="AS11" i="4"/>
  <c r="AT11" i="4"/>
  <c r="AU11" i="4"/>
  <c r="AV11" i="4"/>
  <c r="AO12" i="4"/>
  <c r="AP12" i="4"/>
  <c r="AQ12" i="4"/>
  <c r="AR12" i="4"/>
  <c r="AS12" i="4"/>
  <c r="AT12" i="4"/>
  <c r="AU12" i="4"/>
  <c r="AV12" i="4"/>
  <c r="AO13" i="4"/>
  <c r="AP13" i="4"/>
  <c r="AQ13" i="4"/>
  <c r="AR13" i="4"/>
  <c r="AS13" i="4"/>
  <c r="AT13" i="4"/>
  <c r="AU13" i="4"/>
  <c r="AV13" i="4"/>
  <c r="AO14" i="4"/>
  <c r="AP14" i="4"/>
  <c r="AQ14" i="4"/>
  <c r="AR14" i="4"/>
  <c r="AS14" i="4"/>
  <c r="AT14" i="4"/>
  <c r="AU14" i="4"/>
  <c r="AV14" i="4"/>
  <c r="AR15" i="4"/>
  <c r="AS15" i="4"/>
  <c r="AT15" i="4"/>
  <c r="AU15" i="4"/>
  <c r="AV15" i="4"/>
  <c r="AO16" i="4"/>
  <c r="AP16" i="4"/>
  <c r="AQ16" i="4"/>
  <c r="AR16" i="4"/>
  <c r="AS16" i="4"/>
  <c r="AT16" i="4"/>
  <c r="AU16" i="4"/>
  <c r="AV16" i="4"/>
  <c r="AR17" i="4"/>
  <c r="AS17" i="4"/>
  <c r="AT17" i="4"/>
  <c r="AU17" i="4"/>
  <c r="AV17" i="4"/>
  <c r="AO18" i="4"/>
  <c r="AP18" i="4"/>
  <c r="AQ18" i="4"/>
  <c r="AR18" i="4"/>
  <c r="AS18" i="4"/>
  <c r="AT18" i="4"/>
  <c r="AU18" i="4"/>
  <c r="AV18" i="4"/>
  <c r="AR19" i="4"/>
  <c r="AS19" i="4"/>
  <c r="AT19" i="4"/>
  <c r="AU19" i="4"/>
  <c r="AV19" i="4"/>
  <c r="AO20" i="4"/>
  <c r="AP20" i="4"/>
  <c r="AQ20" i="4"/>
  <c r="AR20" i="4"/>
  <c r="AS20" i="4"/>
  <c r="AT20" i="4"/>
  <c r="AU20" i="4"/>
  <c r="AV20" i="4"/>
  <c r="AR21" i="4"/>
  <c r="AS21" i="4"/>
  <c r="AT21" i="4"/>
  <c r="AU21" i="4"/>
  <c r="AV21" i="4"/>
  <c r="AR22" i="4"/>
  <c r="AS22" i="4"/>
  <c r="AT22" i="4"/>
  <c r="AU22" i="4"/>
  <c r="AV22" i="4"/>
  <c r="AR23" i="4"/>
  <c r="AS23" i="4"/>
  <c r="AT23" i="4"/>
  <c r="AU23" i="4"/>
  <c r="AV23" i="4"/>
  <c r="AR24" i="4"/>
  <c r="AS24" i="4"/>
  <c r="AT24" i="4"/>
  <c r="AU24" i="4"/>
  <c r="AV24" i="4"/>
  <c r="AO25" i="4"/>
  <c r="AP25" i="4"/>
  <c r="AQ25" i="4"/>
  <c r="AR25" i="4"/>
  <c r="AS25" i="4"/>
  <c r="AT25" i="4"/>
  <c r="AU25" i="4"/>
  <c r="AV25" i="4"/>
  <c r="AO26" i="4"/>
  <c r="AP26" i="4"/>
  <c r="AQ26" i="4"/>
  <c r="AR26" i="4"/>
  <c r="AS26" i="4"/>
  <c r="AT26" i="4"/>
  <c r="AU26" i="4"/>
  <c r="AV26" i="4"/>
  <c r="AO27" i="4"/>
  <c r="AP27" i="4"/>
  <c r="AQ27" i="4"/>
  <c r="AR27" i="4"/>
  <c r="AS27" i="4"/>
  <c r="AT27" i="4"/>
  <c r="AU27" i="4"/>
  <c r="AV27" i="4"/>
  <c r="AO28" i="4"/>
  <c r="AP28" i="4"/>
  <c r="AQ28" i="4"/>
  <c r="AR28" i="4"/>
  <c r="AS28" i="4"/>
  <c r="AT28" i="4"/>
  <c r="AU28" i="4"/>
  <c r="AV28" i="4"/>
  <c r="AO29" i="4"/>
  <c r="AP29" i="4"/>
  <c r="AQ29" i="4"/>
  <c r="AR29" i="4"/>
  <c r="AS29" i="4"/>
  <c r="AT29" i="4"/>
  <c r="AU29" i="4"/>
  <c r="AV29" i="4"/>
  <c r="AO30" i="4"/>
  <c r="AP30" i="4"/>
  <c r="AQ30" i="4"/>
  <c r="AR30" i="4"/>
  <c r="AS30" i="4"/>
  <c r="AT30" i="4"/>
  <c r="AU30" i="4"/>
  <c r="AV30" i="4"/>
  <c r="AO5" i="4"/>
  <c r="AP5" i="4"/>
  <c r="AQ5" i="4"/>
  <c r="AR5" i="4"/>
  <c r="AS5" i="4"/>
  <c r="AT5" i="4"/>
  <c r="AU5" i="4"/>
  <c r="AV5" i="4"/>
  <c r="Q2" i="4"/>
  <c r="E13" i="4" l="1"/>
  <c r="E12" i="4"/>
  <c r="E11" i="4"/>
  <c r="E10" i="4"/>
  <c r="K8" i="4"/>
  <c r="E8" i="4"/>
  <c r="K7" i="4"/>
  <c r="E7" i="4"/>
  <c r="K6" i="4"/>
  <c r="E6" i="4"/>
  <c r="E5" i="4"/>
  <c r="E4" i="4"/>
  <c r="E3" i="4"/>
  <c r="W2" i="4"/>
  <c r="T2" i="4"/>
  <c r="E2" i="4"/>
  <c r="H20" i="5"/>
  <c r="H14" i="5"/>
  <c r="D38" i="5" s="1"/>
  <c r="H12" i="5"/>
  <c r="R76" i="1"/>
  <c r="P76" i="1"/>
  <c r="N76" i="1"/>
  <c r="L73" i="1"/>
  <c r="L68" i="1"/>
  <c r="J68" i="1"/>
  <c r="D68" i="1"/>
  <c r="L61" i="1"/>
  <c r="L59" i="1"/>
  <c r="L57" i="1"/>
  <c r="J57" i="1"/>
  <c r="L55" i="1"/>
  <c r="H48" i="1"/>
  <c r="H46" i="1"/>
  <c r="H44" i="1"/>
  <c r="D35" i="1"/>
  <c r="H24" i="1"/>
  <c r="H20" i="1"/>
  <c r="F14" i="1"/>
  <c r="D14" i="1"/>
  <c r="F12" i="1"/>
  <c r="D12" i="1"/>
  <c r="F13" i="4" s="1"/>
  <c r="B4" i="1"/>
  <c r="H16" i="3"/>
  <c r="H14" i="3"/>
  <c r="H14" i="1" l="1"/>
  <c r="F21" i="1" s="1"/>
  <c r="H22" i="1"/>
  <c r="H12" i="1"/>
  <c r="T301" i="4"/>
  <c r="Q11" i="4"/>
  <c r="Q14" i="4"/>
  <c r="Q18" i="4"/>
  <c r="Q24" i="4"/>
  <c r="Q27" i="4"/>
  <c r="Q30" i="4"/>
  <c r="Q34" i="4"/>
  <c r="Q40" i="4"/>
  <c r="Q43" i="4"/>
  <c r="Q12" i="4"/>
  <c r="Q15" i="4"/>
  <c r="Q21" i="4"/>
  <c r="Q25" i="4"/>
  <c r="Q28" i="4"/>
  <c r="Q31" i="4"/>
  <c r="Q37" i="4"/>
  <c r="Q41" i="4"/>
  <c r="Q44" i="4"/>
  <c r="Q47" i="4"/>
  <c r="Q53" i="4"/>
  <c r="Q57" i="4"/>
  <c r="Q60" i="4"/>
  <c r="Q66" i="4"/>
  <c r="Q72" i="4"/>
  <c r="Q75" i="4"/>
  <c r="Q78" i="4"/>
  <c r="Q81" i="4"/>
  <c r="Q84" i="4"/>
  <c r="Q90" i="4"/>
  <c r="Q95" i="4"/>
  <c r="Q101" i="4"/>
  <c r="Q104" i="4"/>
  <c r="Q107" i="4"/>
  <c r="Q110" i="4"/>
  <c r="Q113" i="4"/>
  <c r="Q116" i="4"/>
  <c r="Q122" i="4"/>
  <c r="Q127" i="4"/>
  <c r="Q133" i="4"/>
  <c r="Q137" i="4"/>
  <c r="Q140" i="4"/>
  <c r="Q143" i="4"/>
  <c r="Q149" i="4"/>
  <c r="Q153" i="4"/>
  <c r="Q156" i="4"/>
  <c r="Q159" i="4"/>
  <c r="Q165" i="4"/>
  <c r="Q169" i="4"/>
  <c r="Q172" i="4"/>
  <c r="Q175" i="4"/>
  <c r="Q181" i="4"/>
  <c r="Q185" i="4"/>
  <c r="Q188" i="4"/>
  <c r="Q191" i="4"/>
  <c r="Q197" i="4"/>
  <c r="Q200" i="4"/>
  <c r="Q203" i="4"/>
  <c r="Q206" i="4"/>
  <c r="Q209" i="4"/>
  <c r="Q212" i="4"/>
  <c r="Q218" i="4"/>
  <c r="Q223" i="4"/>
  <c r="Q229" i="4"/>
  <c r="Q232" i="4"/>
  <c r="Q235" i="4"/>
  <c r="Q238" i="4"/>
  <c r="Q241" i="4"/>
  <c r="Q244" i="4"/>
  <c r="Q250" i="4"/>
  <c r="Q255" i="4"/>
  <c r="Q261" i="4"/>
  <c r="Q264" i="4"/>
  <c r="Q267" i="4"/>
  <c r="Q19" i="4"/>
  <c r="Q26" i="4"/>
  <c r="Q32" i="4"/>
  <c r="Q38" i="4"/>
  <c r="Q49" i="4"/>
  <c r="Q58" i="4"/>
  <c r="Q61" i="4"/>
  <c r="Q65" i="4"/>
  <c r="Q69" i="4"/>
  <c r="Q74" i="4"/>
  <c r="Q77" i="4"/>
  <c r="Q82" i="4"/>
  <c r="Q85" i="4"/>
  <c r="Q89" i="4"/>
  <c r="Q93" i="4"/>
  <c r="Q97" i="4"/>
  <c r="Q105" i="4"/>
  <c r="Q112" i="4"/>
  <c r="Q120" i="4"/>
  <c r="Q124" i="4"/>
  <c r="Q128" i="4"/>
  <c r="Q132" i="4"/>
  <c r="Q136" i="4"/>
  <c r="Q145" i="4"/>
  <c r="Q154" i="4"/>
  <c r="Q157" i="4"/>
  <c r="Q162" i="4"/>
  <c r="Q166" i="4"/>
  <c r="Q174" i="4"/>
  <c r="Q179" i="4"/>
  <c r="Q183" i="4"/>
  <c r="Q187" i="4"/>
  <c r="Q192" i="4"/>
  <c r="Q196" i="4"/>
  <c r="Q199" i="4"/>
  <c r="Q204" i="4"/>
  <c r="Q207" i="4"/>
  <c r="Q211" i="4"/>
  <c r="Q215" i="4"/>
  <c r="Q219" i="4"/>
  <c r="Q227" i="4"/>
  <c r="Q246" i="4"/>
  <c r="Q254" i="4"/>
  <c r="Q258" i="4"/>
  <c r="Q262" i="4"/>
  <c r="Q266" i="4"/>
  <c r="Q269" i="4"/>
  <c r="Q273" i="4"/>
  <c r="Q276" i="4"/>
  <c r="Q279" i="4"/>
  <c r="Q13" i="4"/>
  <c r="Q20" i="4"/>
  <c r="Q33" i="4"/>
  <c r="Q39" i="4"/>
  <c r="Q45" i="4"/>
  <c r="Q50" i="4"/>
  <c r="Q54" i="4"/>
  <c r="Q62" i="4"/>
  <c r="Q70" i="4"/>
  <c r="Q86" i="4"/>
  <c r="Q94" i="4"/>
  <c r="Q98" i="4"/>
  <c r="Q102" i="4"/>
  <c r="Q106" i="4"/>
  <c r="Q109" i="4"/>
  <c r="Q114" i="4"/>
  <c r="Q117" i="4"/>
  <c r="Q121" i="4"/>
  <c r="Q125" i="4"/>
  <c r="Q129" i="4"/>
  <c r="Q138" i="4"/>
  <c r="Q141" i="4"/>
  <c r="Q146" i="4"/>
  <c r="Q150" i="4"/>
  <c r="Q158" i="4"/>
  <c r="Q163" i="4"/>
  <c r="Q167" i="4"/>
  <c r="Q171" i="4"/>
  <c r="Q176" i="4"/>
  <c r="Q180" i="4"/>
  <c r="Q184" i="4"/>
  <c r="Q193" i="4"/>
  <c r="Q201" i="4"/>
  <c r="Q208" i="4"/>
  <c r="Q216" i="4"/>
  <c r="Q220" i="4"/>
  <c r="Q224" i="4"/>
  <c r="Q228" i="4"/>
  <c r="Q231" i="4"/>
  <c r="Q236" i="4"/>
  <c r="Q239" i="4"/>
  <c r="Q243" i="4"/>
  <c r="Q247" i="4"/>
  <c r="Q251" i="4"/>
  <c r="Q259" i="4"/>
  <c r="Q270" i="4"/>
  <c r="Q274" i="4"/>
  <c r="Q280" i="4"/>
  <c r="Q283" i="4"/>
  <c r="Q286" i="4"/>
  <c r="Q290" i="4"/>
  <c r="Q296" i="4"/>
  <c r="Q299" i="4"/>
  <c r="Q302" i="4"/>
  <c r="Q6" i="4"/>
  <c r="Q10" i="4"/>
  <c r="H36" i="5"/>
  <c r="H37" i="5" s="1"/>
  <c r="Q16" i="4"/>
  <c r="Q22" i="4"/>
  <c r="Q35" i="4"/>
  <c r="Q42" i="4"/>
  <c r="Q46" i="4"/>
  <c r="Q51" i="4"/>
  <c r="Q55" i="4"/>
  <c r="Q59" i="4"/>
  <c r="Q63" i="4"/>
  <c r="Q67" i="4"/>
  <c r="Q71" i="4"/>
  <c r="Q76" i="4"/>
  <c r="Q79" i="4"/>
  <c r="Q83" i="4"/>
  <c r="Q87" i="4"/>
  <c r="Q91" i="4"/>
  <c r="Q99" i="4"/>
  <c r="Q118" i="4"/>
  <c r="Q126" i="4"/>
  <c r="Q130" i="4"/>
  <c r="Q134" i="4"/>
  <c r="Q142" i="4"/>
  <c r="Q147" i="4"/>
  <c r="Q151" i="4"/>
  <c r="Q155" i="4"/>
  <c r="Q160" i="4"/>
  <c r="Q164" i="4"/>
  <c r="Q168" i="4"/>
  <c r="Q177" i="4"/>
  <c r="Q186" i="4"/>
  <c r="Q189" i="4"/>
  <c r="Q194" i="4"/>
  <c r="Q198" i="4"/>
  <c r="Q202" i="4"/>
  <c r="Q205" i="4"/>
  <c r="Q210" i="4"/>
  <c r="Q213" i="4"/>
  <c r="Q217" i="4"/>
  <c r="Q221" i="4"/>
  <c r="Q225" i="4"/>
  <c r="Q233" i="4"/>
  <c r="Q240" i="4"/>
  <c r="Q248" i="4"/>
  <c r="Q252" i="4"/>
  <c r="Q256" i="4"/>
  <c r="Q260" i="4"/>
  <c r="Q263" i="4"/>
  <c r="Q268" i="4"/>
  <c r="Q271" i="4"/>
  <c r="Q277" i="4"/>
  <c r="Q281" i="4"/>
  <c r="Q284" i="4"/>
  <c r="Q287" i="4"/>
  <c r="Q293" i="4"/>
  <c r="Q297" i="4"/>
  <c r="Q300" i="4"/>
  <c r="Q4" i="4"/>
  <c r="Q7" i="4"/>
  <c r="Q17" i="4"/>
  <c r="Q23" i="4"/>
  <c r="Q29" i="4"/>
  <c r="Q36" i="4"/>
  <c r="Q48" i="4"/>
  <c r="Q52" i="4"/>
  <c r="Q56" i="4"/>
  <c r="Q64" i="4"/>
  <c r="Q68" i="4"/>
  <c r="Q73" i="4"/>
  <c r="Q80" i="4"/>
  <c r="Q88" i="4"/>
  <c r="Q92" i="4"/>
  <c r="Q96" i="4"/>
  <c r="Q100" i="4"/>
  <c r="Q103" i="4"/>
  <c r="Q108" i="4"/>
  <c r="Q123" i="4"/>
  <c r="Q139" i="4"/>
  <c r="Q173" i="4"/>
  <c r="Q190" i="4"/>
  <c r="Q222" i="4"/>
  <c r="Q237" i="4"/>
  <c r="Q253" i="4"/>
  <c r="Q282" i="4"/>
  <c r="Q288" i="4"/>
  <c r="Q294" i="4"/>
  <c r="Q8" i="4"/>
  <c r="Q111" i="4"/>
  <c r="Q144" i="4"/>
  <c r="Q161" i="4"/>
  <c r="Q178" i="4"/>
  <c r="Q195" i="4"/>
  <c r="Q226" i="4"/>
  <c r="Q242" i="4"/>
  <c r="Q257" i="4"/>
  <c r="Q272" i="4"/>
  <c r="Q289" i="4"/>
  <c r="Q295" i="4"/>
  <c r="Q301" i="4"/>
  <c r="Q9" i="4"/>
  <c r="Q115" i="4"/>
  <c r="Q131" i="4"/>
  <c r="Q148" i="4"/>
  <c r="Q182" i="4"/>
  <c r="Q214" i="4"/>
  <c r="Q230" i="4"/>
  <c r="Q245" i="4"/>
  <c r="Q275" i="4"/>
  <c r="Q291" i="4"/>
  <c r="Q298" i="4"/>
  <c r="Q3" i="4"/>
  <c r="R3" i="4" s="1"/>
  <c r="Q119" i="4"/>
  <c r="Q135" i="4"/>
  <c r="Q152" i="4"/>
  <c r="Q170" i="4"/>
  <c r="Q234" i="4"/>
  <c r="Q249" i="4"/>
  <c r="Q265" i="4"/>
  <c r="Q278" i="4"/>
  <c r="Q285" i="4"/>
  <c r="Q292" i="4"/>
  <c r="Q5" i="4"/>
  <c r="D36" i="5"/>
  <c r="D37" i="5" s="1"/>
  <c r="H38" i="5"/>
  <c r="H39" i="5" s="1"/>
  <c r="D39" i="5"/>
  <c r="T8" i="4"/>
  <c r="T12" i="4"/>
  <c r="T19" i="4"/>
  <c r="T27" i="4"/>
  <c r="T35" i="4"/>
  <c r="T43" i="4"/>
  <c r="T52" i="4"/>
  <c r="T60" i="4"/>
  <c r="T68" i="4"/>
  <c r="T75" i="4"/>
  <c r="T83" i="4"/>
  <c r="T91" i="4"/>
  <c r="T99" i="4"/>
  <c r="T106" i="4"/>
  <c r="T113" i="4"/>
  <c r="T121" i="4"/>
  <c r="T129" i="4"/>
  <c r="T137" i="4"/>
  <c r="T145" i="4"/>
  <c r="T153" i="4"/>
  <c r="T161" i="4"/>
  <c r="T169" i="4"/>
  <c r="T177" i="4"/>
  <c r="T185" i="4"/>
  <c r="T193" i="4"/>
  <c r="T201" i="4"/>
  <c r="T208" i="4"/>
  <c r="T216" i="4"/>
  <c r="T224" i="4"/>
  <c r="T231" i="4"/>
  <c r="T239" i="4"/>
  <c r="T247" i="4"/>
  <c r="T255" i="4"/>
  <c r="T263" i="4"/>
  <c r="T270" i="4"/>
  <c r="T278" i="4"/>
  <c r="T286" i="4"/>
  <c r="T296" i="4"/>
  <c r="T14" i="4"/>
  <c r="T22" i="4"/>
  <c r="T30" i="4"/>
  <c r="T38" i="4"/>
  <c r="T45" i="4"/>
  <c r="T53" i="4"/>
  <c r="T61" i="4"/>
  <c r="T69" i="4"/>
  <c r="T78" i="4"/>
  <c r="T86" i="4"/>
  <c r="T94" i="4"/>
  <c r="T102" i="4"/>
  <c r="T108" i="4"/>
  <c r="T116" i="4"/>
  <c r="T124" i="4"/>
  <c r="T132" i="4"/>
  <c r="T140" i="4"/>
  <c r="T148" i="4"/>
  <c r="T156" i="4"/>
  <c r="T164" i="4"/>
  <c r="T172" i="4"/>
  <c r="T180" i="4"/>
  <c r="T188" i="4"/>
  <c r="T196" i="4"/>
  <c r="T203" i="4"/>
  <c r="T211" i="4"/>
  <c r="T219" i="4"/>
  <c r="T226" i="4"/>
  <c r="T234" i="4"/>
  <c r="T242" i="4"/>
  <c r="T250" i="4"/>
  <c r="T258" i="4"/>
  <c r="T273" i="4"/>
  <c r="T281" i="4"/>
  <c r="T289" i="4"/>
  <c r="T297" i="4"/>
  <c r="T4" i="4"/>
  <c r="T15" i="4"/>
  <c r="T23" i="4"/>
  <c r="T31" i="4"/>
  <c r="T39" i="4"/>
  <c r="T48" i="4"/>
  <c r="T56" i="4"/>
  <c r="T64" i="4"/>
  <c r="T72" i="4"/>
  <c r="T79" i="4"/>
  <c r="T87" i="4"/>
  <c r="T95" i="4"/>
  <c r="T103" i="4"/>
  <c r="T109" i="4"/>
  <c r="T117" i="4"/>
  <c r="T125" i="4"/>
  <c r="T133" i="4"/>
  <c r="T141" i="4"/>
  <c r="T149" i="4"/>
  <c r="T157" i="4"/>
  <c r="T165" i="4"/>
  <c r="T173" i="4"/>
  <c r="T181" i="4"/>
  <c r="T189" i="4"/>
  <c r="T197" i="4"/>
  <c r="T204" i="4"/>
  <c r="T212" i="4"/>
  <c r="T220" i="4"/>
  <c r="T227" i="4"/>
  <c r="T235" i="4"/>
  <c r="T243" i="4"/>
  <c r="T251" i="4"/>
  <c r="T259" i="4"/>
  <c r="T266" i="4"/>
  <c r="T274" i="4"/>
  <c r="T282" i="4"/>
  <c r="T292" i="4"/>
  <c r="T300" i="4"/>
  <c r="T18" i="4"/>
  <c r="T26" i="4"/>
  <c r="T34" i="4"/>
  <c r="T42" i="4"/>
  <c r="T49" i="4"/>
  <c r="T57" i="4"/>
  <c r="T65" i="4"/>
  <c r="T82" i="4"/>
  <c r="T90" i="4"/>
  <c r="T98" i="4"/>
  <c r="T105" i="4"/>
  <c r="T112" i="4"/>
  <c r="T120" i="4"/>
  <c r="T128" i="4"/>
  <c r="T136" i="4"/>
  <c r="T144" i="4"/>
  <c r="T152" i="4"/>
  <c r="T160" i="4"/>
  <c r="T168" i="4"/>
  <c r="T176" i="4"/>
  <c r="T184" i="4"/>
  <c r="T192" i="4"/>
  <c r="T200" i="4"/>
  <c r="T207" i="4"/>
  <c r="T215" i="4"/>
  <c r="T223" i="4"/>
  <c r="T230" i="4"/>
  <c r="T238" i="4"/>
  <c r="T246" i="4"/>
  <c r="T254" i="4"/>
  <c r="T262" i="4"/>
  <c r="T269" i="4"/>
  <c r="T277" i="4"/>
  <c r="T285" i="4"/>
  <c r="T293" i="4"/>
  <c r="T3" i="4"/>
  <c r="U3" i="4" s="1"/>
  <c r="T5" i="4"/>
  <c r="T9" i="4"/>
  <c r="T10" i="4"/>
  <c r="T17" i="4"/>
  <c r="T21" i="4"/>
  <c r="T25" i="4"/>
  <c r="T29" i="4"/>
  <c r="T33" i="4"/>
  <c r="T37" i="4"/>
  <c r="T41" i="4"/>
  <c r="T44" i="4"/>
  <c r="T47" i="4"/>
  <c r="T51" i="4"/>
  <c r="T55" i="4"/>
  <c r="T59" i="4"/>
  <c r="T63" i="4"/>
  <c r="T67" i="4"/>
  <c r="T71" i="4"/>
  <c r="T74" i="4"/>
  <c r="T77" i="4"/>
  <c r="T81" i="4"/>
  <c r="T85" i="4"/>
  <c r="T89" i="4"/>
  <c r="T93" i="4"/>
  <c r="T97" i="4"/>
  <c r="T101" i="4"/>
  <c r="T107" i="4"/>
  <c r="T111" i="4"/>
  <c r="T115" i="4"/>
  <c r="T119" i="4"/>
  <c r="T123" i="4"/>
  <c r="T127" i="4"/>
  <c r="T131" i="4"/>
  <c r="T135" i="4"/>
  <c r="T139" i="4"/>
  <c r="T143" i="4"/>
  <c r="T147" i="4"/>
  <c r="T151" i="4"/>
  <c r="T155" i="4"/>
  <c r="T159" i="4"/>
  <c r="T163" i="4"/>
  <c r="T167" i="4"/>
  <c r="T171" i="4"/>
  <c r="T175" i="4"/>
  <c r="T179" i="4"/>
  <c r="T183" i="4"/>
  <c r="T187" i="4"/>
  <c r="T191" i="4"/>
  <c r="T195" i="4"/>
  <c r="T199" i="4"/>
  <c r="T202" i="4"/>
  <c r="T206" i="4"/>
  <c r="T210" i="4"/>
  <c r="T214" i="4"/>
  <c r="T218" i="4"/>
  <c r="T222" i="4"/>
  <c r="T229" i="4"/>
  <c r="T233" i="4"/>
  <c r="T237" i="4"/>
  <c r="T241" i="4"/>
  <c r="T245" i="4"/>
  <c r="T249" i="4"/>
  <c r="T253" i="4"/>
  <c r="T257" i="4"/>
  <c r="T261" i="4"/>
  <c r="T265" i="4"/>
  <c r="T268" i="4"/>
  <c r="T272" i="4"/>
  <c r="T276" i="4"/>
  <c r="T280" i="4"/>
  <c r="T284" i="4"/>
  <c r="T288" i="4"/>
  <c r="T291" i="4"/>
  <c r="T295" i="4"/>
  <c r="T299" i="4"/>
  <c r="T6" i="4"/>
  <c r="T7" i="4"/>
  <c r="T11" i="4"/>
  <c r="T13" i="4"/>
  <c r="T16" i="4"/>
  <c r="T20" i="4"/>
  <c r="T24" i="4"/>
  <c r="T28" i="4"/>
  <c r="T32" i="4"/>
  <c r="T36" i="4"/>
  <c r="T40" i="4"/>
  <c r="T46" i="4"/>
  <c r="T50" i="4"/>
  <c r="T54" i="4"/>
  <c r="T58" i="4"/>
  <c r="T62" i="4"/>
  <c r="T66" i="4"/>
  <c r="T70" i="4"/>
  <c r="T73" i="4"/>
  <c r="T76" i="4"/>
  <c r="T80" i="4"/>
  <c r="T84" i="4"/>
  <c r="T88" i="4"/>
  <c r="T92" i="4"/>
  <c r="T96" i="4"/>
  <c r="T100" i="4"/>
  <c r="T104" i="4"/>
  <c r="T110" i="4"/>
  <c r="T114" i="4"/>
  <c r="T118" i="4"/>
  <c r="T122" i="4"/>
  <c r="T126" i="4"/>
  <c r="T130" i="4"/>
  <c r="T134" i="4"/>
  <c r="T138" i="4"/>
  <c r="T142" i="4"/>
  <c r="T146" i="4"/>
  <c r="T150" i="4"/>
  <c r="T154" i="4"/>
  <c r="T158" i="4"/>
  <c r="T162" i="4"/>
  <c r="T166" i="4"/>
  <c r="T170" i="4"/>
  <c r="T174" i="4"/>
  <c r="T178" i="4"/>
  <c r="T182" i="4"/>
  <c r="T186" i="4"/>
  <c r="T190" i="4"/>
  <c r="T194" i="4"/>
  <c r="T198" i="4"/>
  <c r="T205" i="4"/>
  <c r="T209" i="4"/>
  <c r="T213" i="4"/>
  <c r="T217" i="4"/>
  <c r="T221" i="4"/>
  <c r="T225" i="4"/>
  <c r="T228" i="4"/>
  <c r="T232" i="4"/>
  <c r="T236" i="4"/>
  <c r="T240" i="4"/>
  <c r="T244" i="4"/>
  <c r="T248" i="4"/>
  <c r="T252" i="4"/>
  <c r="T256" i="4"/>
  <c r="T260" i="4"/>
  <c r="T264" i="4"/>
  <c r="T267" i="4"/>
  <c r="T271" i="4"/>
  <c r="T275" i="4"/>
  <c r="T279" i="4"/>
  <c r="T283" i="4"/>
  <c r="T287" i="4"/>
  <c r="T290" i="4"/>
  <c r="T294" i="4"/>
  <c r="T298" i="4"/>
  <c r="T302" i="4"/>
  <c r="F8" i="4" l="1"/>
  <c r="D21" i="1"/>
  <c r="H21" i="1" s="1"/>
  <c r="L8" i="4"/>
  <c r="H12" i="4" s="1"/>
  <c r="L10" i="4"/>
  <c r="H10" i="4" s="1"/>
  <c r="L7" i="4"/>
  <c r="L9" i="4"/>
  <c r="H11" i="4" s="1"/>
  <c r="U4" i="4"/>
  <c r="R285" i="4"/>
  <c r="R234" i="4"/>
  <c r="R119" i="4"/>
  <c r="R9" i="4"/>
  <c r="R182" i="4"/>
  <c r="R272" i="4"/>
  <c r="R111" i="4"/>
  <c r="R190" i="4"/>
  <c r="R92" i="4"/>
  <c r="R48" i="4"/>
  <c r="R297" i="4"/>
  <c r="R263" i="4"/>
  <c r="R221" i="4"/>
  <c r="R189" i="4"/>
  <c r="R147" i="4"/>
  <c r="R87" i="4"/>
  <c r="R55" i="4"/>
  <c r="R10" i="4"/>
  <c r="R280" i="4"/>
  <c r="R236" i="4"/>
  <c r="R193" i="4"/>
  <c r="R150" i="4"/>
  <c r="R114" i="4"/>
  <c r="R62" i="4"/>
  <c r="R279" i="4"/>
  <c r="R246" i="4"/>
  <c r="R196" i="4"/>
  <c r="R157" i="4"/>
  <c r="R112" i="4"/>
  <c r="R74" i="4"/>
  <c r="R26" i="4"/>
  <c r="R241" i="4"/>
  <c r="R209" i="4"/>
  <c r="R181" i="4"/>
  <c r="R149" i="4"/>
  <c r="R113" i="4"/>
  <c r="R81" i="4"/>
  <c r="R47" i="4"/>
  <c r="R15" i="4"/>
  <c r="R34" i="4"/>
  <c r="R148" i="4"/>
  <c r="R178" i="4"/>
  <c r="R253" i="4"/>
  <c r="R103" i="4"/>
  <c r="R64" i="4"/>
  <c r="R7" i="4"/>
  <c r="R277" i="4"/>
  <c r="R240" i="4"/>
  <c r="R202" i="4"/>
  <c r="R160" i="4"/>
  <c r="R118" i="4"/>
  <c r="R67" i="4"/>
  <c r="R22" i="4"/>
  <c r="R290" i="4"/>
  <c r="R247" i="4"/>
  <c r="R231" i="4"/>
  <c r="R184" i="4"/>
  <c r="R146" i="4"/>
  <c r="R94" i="4"/>
  <c r="R33" i="4"/>
  <c r="R262" i="4"/>
  <c r="R192" i="4"/>
  <c r="R154" i="4"/>
  <c r="R69" i="4"/>
  <c r="R275" i="4"/>
  <c r="R195" i="4"/>
  <c r="R282" i="4"/>
  <c r="R108" i="4"/>
  <c r="R68" i="4"/>
  <c r="R17" i="4"/>
  <c r="R281" i="4"/>
  <c r="R248" i="4"/>
  <c r="R205" i="4"/>
  <c r="R164" i="4"/>
  <c r="R126" i="4"/>
  <c r="R71" i="4"/>
  <c r="R35" i="4"/>
  <c r="R296" i="4"/>
  <c r="R251" i="4"/>
  <c r="R220" i="4"/>
  <c r="R171" i="4"/>
  <c r="R129" i="4"/>
  <c r="R98" i="4"/>
  <c r="R39" i="4"/>
  <c r="R266" i="4"/>
  <c r="R211" i="4"/>
  <c r="R179" i="4"/>
  <c r="R132" i="4"/>
  <c r="R89" i="4"/>
  <c r="R58" i="4"/>
  <c r="R261" i="4"/>
  <c r="R229" i="4"/>
  <c r="R197" i="4"/>
  <c r="R165" i="4"/>
  <c r="R133" i="4"/>
  <c r="R101" i="4"/>
  <c r="R66" i="4"/>
  <c r="R31" i="4"/>
  <c r="R18" i="4"/>
  <c r="R278" i="4"/>
  <c r="R170" i="4"/>
  <c r="R245" i="4"/>
  <c r="R301" i="4"/>
  <c r="R257" i="4"/>
  <c r="R8" i="4"/>
  <c r="R173" i="4"/>
  <c r="R88" i="4"/>
  <c r="R36" i="4"/>
  <c r="R293" i="4"/>
  <c r="R260" i="4"/>
  <c r="R217" i="4"/>
  <c r="R186" i="4"/>
  <c r="R142" i="4"/>
  <c r="R83" i="4"/>
  <c r="R51" i="4"/>
  <c r="R6" i="4"/>
  <c r="R274" i="4"/>
  <c r="R216" i="4"/>
  <c r="R167" i="4"/>
  <c r="R125" i="4"/>
  <c r="R109" i="4"/>
  <c r="R54" i="4"/>
  <c r="R276" i="4"/>
  <c r="R227" i="4"/>
  <c r="R207" i="4"/>
  <c r="R174" i="4"/>
  <c r="R128" i="4"/>
  <c r="R105" i="4"/>
  <c r="R85" i="4"/>
  <c r="R49" i="4"/>
  <c r="R255" i="4"/>
  <c r="R223" i="4"/>
  <c r="R191" i="4"/>
  <c r="R159" i="4"/>
  <c r="R127" i="4"/>
  <c r="R95" i="4"/>
  <c r="R60" i="4"/>
  <c r="R30" i="4"/>
  <c r="R5" i="4"/>
  <c r="R265" i="4"/>
  <c r="R152" i="4"/>
  <c r="R298" i="4"/>
  <c r="R230" i="4"/>
  <c r="R131" i="4"/>
  <c r="R295" i="4"/>
  <c r="R242" i="4"/>
  <c r="R161" i="4"/>
  <c r="R294" i="4"/>
  <c r="R237" i="4"/>
  <c r="R139" i="4"/>
  <c r="R100" i="4"/>
  <c r="R80" i="4"/>
  <c r="R56" i="4"/>
  <c r="R29" i="4"/>
  <c r="R4" i="4"/>
  <c r="R287" i="4"/>
  <c r="R271" i="4"/>
  <c r="R256" i="4"/>
  <c r="R233" i="4"/>
  <c r="R213" i="4"/>
  <c r="R198" i="4"/>
  <c r="R177" i="4"/>
  <c r="R155" i="4"/>
  <c r="R134" i="4"/>
  <c r="R99" i="4"/>
  <c r="R79" i="4"/>
  <c r="R63" i="4"/>
  <c r="R46" i="4"/>
  <c r="R16" i="4"/>
  <c r="R302" i="4"/>
  <c r="R286" i="4"/>
  <c r="R270" i="4"/>
  <c r="R243" i="4"/>
  <c r="R228" i="4"/>
  <c r="R208" i="4"/>
  <c r="R180" i="4"/>
  <c r="R163" i="4"/>
  <c r="R141" i="4"/>
  <c r="R121" i="4"/>
  <c r="R106" i="4"/>
  <c r="R86" i="4"/>
  <c r="R50" i="4"/>
  <c r="R20" i="4"/>
  <c r="R273" i="4"/>
  <c r="R258" i="4"/>
  <c r="R219" i="4"/>
  <c r="R204" i="4"/>
  <c r="R187" i="4"/>
  <c r="R166" i="4"/>
  <c r="R145" i="4"/>
  <c r="R124" i="4"/>
  <c r="R97" i="4"/>
  <c r="R82" i="4"/>
  <c r="R65" i="4"/>
  <c r="R38" i="4"/>
  <c r="R267" i="4"/>
  <c r="R250" i="4"/>
  <c r="R235" i="4"/>
  <c r="R218" i="4"/>
  <c r="R203" i="4"/>
  <c r="R188" i="4"/>
  <c r="R172" i="4"/>
  <c r="R156" i="4"/>
  <c r="R140" i="4"/>
  <c r="R122" i="4"/>
  <c r="R107" i="4"/>
  <c r="R90" i="4"/>
  <c r="R75" i="4"/>
  <c r="R57" i="4"/>
  <c r="R41" i="4"/>
  <c r="R25" i="4"/>
  <c r="R43" i="4"/>
  <c r="R27" i="4"/>
  <c r="R11" i="4"/>
  <c r="R19" i="4"/>
  <c r="R238" i="4"/>
  <c r="R206" i="4"/>
  <c r="R175" i="4"/>
  <c r="R143" i="4"/>
  <c r="R110" i="4"/>
  <c r="R78" i="4"/>
  <c r="R44" i="4"/>
  <c r="R28" i="4"/>
  <c r="R12" i="4"/>
  <c r="R14" i="4"/>
  <c r="R292" i="4"/>
  <c r="R249" i="4"/>
  <c r="R135" i="4"/>
  <c r="R291" i="4"/>
  <c r="R214" i="4"/>
  <c r="R115" i="4"/>
  <c r="R289" i="4"/>
  <c r="R226" i="4"/>
  <c r="R144" i="4"/>
  <c r="R288" i="4"/>
  <c r="R222" i="4"/>
  <c r="R123" i="4"/>
  <c r="R96" i="4"/>
  <c r="R73" i="4"/>
  <c r="R52" i="4"/>
  <c r="K36" i="5" s="1"/>
  <c r="R23" i="4"/>
  <c r="R300" i="4"/>
  <c r="R284" i="4"/>
  <c r="R268" i="4"/>
  <c r="R252" i="4"/>
  <c r="R225" i="4"/>
  <c r="R210" i="4"/>
  <c r="R194" i="4"/>
  <c r="R168" i="4"/>
  <c r="R151" i="4"/>
  <c r="R130" i="4"/>
  <c r="R91" i="4"/>
  <c r="R76" i="4"/>
  <c r="R59" i="4"/>
  <c r="R42" i="4"/>
  <c r="R299" i="4"/>
  <c r="R283" i="4"/>
  <c r="R259" i="4"/>
  <c r="R239" i="4"/>
  <c r="R224" i="4"/>
  <c r="R201" i="4"/>
  <c r="R176" i="4"/>
  <c r="R158" i="4"/>
  <c r="R138" i="4"/>
  <c r="R117" i="4"/>
  <c r="R102" i="4"/>
  <c r="R70" i="4"/>
  <c r="R45" i="4"/>
  <c r="R13" i="4"/>
  <c r="R269" i="4"/>
  <c r="R254" i="4"/>
  <c r="R215" i="4"/>
  <c r="R199" i="4"/>
  <c r="R183" i="4"/>
  <c r="R162" i="4"/>
  <c r="R136" i="4"/>
  <c r="R120" i="4"/>
  <c r="R93" i="4"/>
  <c r="R77" i="4"/>
  <c r="R61" i="4"/>
  <c r="R32" i="4"/>
  <c r="R264" i="4"/>
  <c r="R244" i="4"/>
  <c r="R232" i="4"/>
  <c r="R212" i="4"/>
  <c r="R200" i="4"/>
  <c r="R185" i="4"/>
  <c r="R169" i="4"/>
  <c r="R153" i="4"/>
  <c r="R137" i="4"/>
  <c r="R116" i="4"/>
  <c r="R104" i="4"/>
  <c r="R84" i="4"/>
  <c r="R72" i="4"/>
  <c r="R53" i="4"/>
  <c r="R37" i="4"/>
  <c r="R21" i="4"/>
  <c r="R40" i="4"/>
  <c r="R24" i="4"/>
  <c r="U5" i="4"/>
  <c r="U218" i="4"/>
  <c r="U43" i="4"/>
  <c r="U175" i="4"/>
  <c r="U79" i="4"/>
  <c r="U58" i="4"/>
  <c r="U131" i="4"/>
  <c r="U163" i="4"/>
  <c r="U55" i="4"/>
  <c r="U243" i="4"/>
  <c r="U98" i="4"/>
  <c r="U111" i="4"/>
  <c r="U51" i="4"/>
  <c r="U6" i="4"/>
  <c r="U195" i="4"/>
  <c r="U71" i="4"/>
  <c r="U27" i="4"/>
  <c r="U271" i="4"/>
  <c r="U63" i="4"/>
  <c r="U22" i="4"/>
  <c r="U66" i="4"/>
  <c r="U99" i="4"/>
  <c r="U186" i="4"/>
  <c r="U7" i="4"/>
  <c r="U302" i="4"/>
  <c r="U209" i="4"/>
  <c r="U178" i="4"/>
  <c r="U146" i="4"/>
  <c r="U114" i="4"/>
  <c r="U84" i="4"/>
  <c r="U54" i="4"/>
  <c r="U24" i="4"/>
  <c r="U299" i="4"/>
  <c r="U191" i="4"/>
  <c r="U127" i="4"/>
  <c r="U35" i="4"/>
  <c r="U19" i="4"/>
  <c r="U87" i="4"/>
  <c r="U154" i="4"/>
  <c r="U223" i="4"/>
  <c r="U38" i="4"/>
  <c r="U82" i="4"/>
  <c r="U143" i="4"/>
  <c r="U8" i="4"/>
  <c r="U287" i="4"/>
  <c r="U225" i="4"/>
  <c r="U194" i="4"/>
  <c r="U162" i="4"/>
  <c r="U130" i="4"/>
  <c r="U100" i="4"/>
  <c r="U70" i="4"/>
  <c r="U40" i="4"/>
  <c r="U267" i="4"/>
  <c r="U159" i="4"/>
  <c r="U67" i="4"/>
  <c r="U10" i="4"/>
  <c r="U46" i="4"/>
  <c r="U30" i="4"/>
  <c r="U14" i="4"/>
  <c r="U74" i="4"/>
  <c r="U90" i="4"/>
  <c r="U122" i="4"/>
  <c r="U207" i="4"/>
  <c r="U107" i="4"/>
  <c r="U119" i="4"/>
  <c r="U139" i="4"/>
  <c r="U151" i="4"/>
  <c r="U171" i="4"/>
  <c r="U183" i="4"/>
  <c r="U203" i="4"/>
  <c r="U215" i="4"/>
  <c r="U11" i="4"/>
  <c r="U239" i="4"/>
  <c r="U290" i="4"/>
  <c r="U275" i="4"/>
  <c r="U260" i="4"/>
  <c r="U244" i="4"/>
  <c r="U228" i="4"/>
  <c r="U213" i="4"/>
  <c r="U198" i="4"/>
  <c r="U182" i="4"/>
  <c r="U166" i="4"/>
  <c r="U150" i="4"/>
  <c r="U134" i="4"/>
  <c r="U118" i="4"/>
  <c r="U104" i="4"/>
  <c r="U88" i="4"/>
  <c r="U73" i="4"/>
  <c r="U206" i="4"/>
  <c r="U28" i="4"/>
  <c r="U13" i="4"/>
  <c r="U237" i="4"/>
  <c r="U97" i="4"/>
  <c r="U75" i="4"/>
  <c r="U103" i="4"/>
  <c r="U135" i="4"/>
  <c r="U155" i="4"/>
  <c r="U167" i="4"/>
  <c r="U187" i="4"/>
  <c r="U199" i="4"/>
  <c r="U210" i="4"/>
  <c r="U219" i="4"/>
  <c r="U227" i="4"/>
  <c r="U251" i="4"/>
  <c r="U283" i="4"/>
  <c r="U253" i="4"/>
  <c r="U222" i="4"/>
  <c r="U81" i="4"/>
  <c r="U37" i="4"/>
  <c r="U21" i="4"/>
  <c r="U50" i="4"/>
  <c r="U42" i="4"/>
  <c r="U34" i="4"/>
  <c r="U26" i="4"/>
  <c r="U18" i="4"/>
  <c r="U59" i="4"/>
  <c r="U83" i="4"/>
  <c r="U91" i="4"/>
  <c r="U123" i="4"/>
  <c r="U47" i="4"/>
  <c r="U39" i="4"/>
  <c r="U31" i="4"/>
  <c r="U23" i="4"/>
  <c r="U15" i="4"/>
  <c r="U62" i="4"/>
  <c r="U78" i="4"/>
  <c r="U86" i="4"/>
  <c r="U95" i="4"/>
  <c r="U106" i="4"/>
  <c r="U115" i="4"/>
  <c r="U138" i="4"/>
  <c r="U147" i="4"/>
  <c r="U170" i="4"/>
  <c r="U179" i="4"/>
  <c r="U202" i="4"/>
  <c r="U211" i="4"/>
  <c r="U235" i="4"/>
  <c r="U255" i="4"/>
  <c r="U288" i="4"/>
  <c r="U272" i="4"/>
  <c r="U257" i="4"/>
  <c r="U241" i="4"/>
  <c r="U101" i="4"/>
  <c r="U85" i="4"/>
  <c r="U41" i="4"/>
  <c r="U25" i="4"/>
  <c r="U298" i="4"/>
  <c r="U294" i="4"/>
  <c r="U286" i="4"/>
  <c r="U282" i="4"/>
  <c r="U278" i="4"/>
  <c r="U274" i="4"/>
  <c r="U270" i="4"/>
  <c r="U266" i="4"/>
  <c r="U262" i="4"/>
  <c r="U258" i="4"/>
  <c r="U254" i="4"/>
  <c r="U250" i="4"/>
  <c r="U246" i="4"/>
  <c r="U242" i="4"/>
  <c r="U238" i="4"/>
  <c r="U234" i="4"/>
  <c r="U230" i="4"/>
  <c r="U226" i="4"/>
  <c r="U9" i="4"/>
  <c r="U217" i="4"/>
  <c r="U205" i="4"/>
  <c r="U201" i="4"/>
  <c r="U197" i="4"/>
  <c r="U193" i="4"/>
  <c r="U189" i="4"/>
  <c r="U185" i="4"/>
  <c r="U181" i="4"/>
  <c r="U177" i="4"/>
  <c r="U173" i="4"/>
  <c r="U169" i="4"/>
  <c r="U165" i="4"/>
  <c r="U161" i="4"/>
  <c r="U157" i="4"/>
  <c r="U153" i="4"/>
  <c r="U149" i="4"/>
  <c r="U145" i="4"/>
  <c r="U141" i="4"/>
  <c r="U137" i="4"/>
  <c r="U133" i="4"/>
  <c r="U129" i="4"/>
  <c r="U125" i="4"/>
  <c r="U121" i="4"/>
  <c r="U117" i="4"/>
  <c r="U113" i="4"/>
  <c r="U109" i="4"/>
  <c r="U105" i="4"/>
  <c r="U93" i="4"/>
  <c r="U89" i="4"/>
  <c r="U77" i="4"/>
  <c r="U69" i="4"/>
  <c r="U65" i="4"/>
  <c r="U61" i="4"/>
  <c r="U57" i="4"/>
  <c r="U53" i="4"/>
  <c r="U12" i="4"/>
  <c r="U16" i="4"/>
  <c r="U20" i="4"/>
  <c r="U32" i="4"/>
  <c r="U36" i="4"/>
  <c r="U44" i="4"/>
  <c r="U48" i="4"/>
  <c r="U52" i="4"/>
  <c r="U296" i="4"/>
  <c r="U284" i="4"/>
  <c r="U268" i="4"/>
  <c r="U252" i="4"/>
  <c r="U240" i="4"/>
  <c r="U301" i="4"/>
  <c r="U297" i="4"/>
  <c r="U293" i="4"/>
  <c r="U289" i="4"/>
  <c r="U285" i="4"/>
  <c r="U281" i="4"/>
  <c r="U277" i="4"/>
  <c r="U273" i="4"/>
  <c r="U269" i="4"/>
  <c r="U265" i="4"/>
  <c r="U261" i="4"/>
  <c r="U249" i="4"/>
  <c r="U245" i="4"/>
  <c r="U233" i="4"/>
  <c r="U229" i="4"/>
  <c r="U221" i="4"/>
  <c r="U220" i="4"/>
  <c r="U216" i="4"/>
  <c r="U212" i="4"/>
  <c r="U208" i="4"/>
  <c r="U204" i="4"/>
  <c r="U200" i="4"/>
  <c r="U196" i="4"/>
  <c r="U192" i="4"/>
  <c r="U188" i="4"/>
  <c r="U184" i="4"/>
  <c r="U180" i="4"/>
  <c r="U176" i="4"/>
  <c r="U172" i="4"/>
  <c r="U168" i="4"/>
  <c r="U164" i="4"/>
  <c r="U160" i="4"/>
  <c r="U156" i="4"/>
  <c r="U152" i="4"/>
  <c r="U148" i="4"/>
  <c r="U144" i="4"/>
  <c r="U140" i="4"/>
  <c r="U136" i="4"/>
  <c r="U132" i="4"/>
  <c r="U128" i="4"/>
  <c r="U124" i="4"/>
  <c r="U120" i="4"/>
  <c r="U116" i="4"/>
  <c r="U112" i="4"/>
  <c r="U108" i="4"/>
  <c r="U96" i="4"/>
  <c r="U92" i="4"/>
  <c r="U80" i="4"/>
  <c r="U76" i="4"/>
  <c r="U72" i="4"/>
  <c r="U68" i="4"/>
  <c r="U64" i="4"/>
  <c r="U60" i="4"/>
  <c r="U56" i="4"/>
  <c r="U17" i="4"/>
  <c r="U29" i="4"/>
  <c r="U33" i="4"/>
  <c r="U45" i="4"/>
  <c r="U49" i="4"/>
  <c r="U300" i="4"/>
  <c r="U292" i="4"/>
  <c r="U280" i="4"/>
  <c r="U276" i="4"/>
  <c r="U264" i="4"/>
  <c r="U256" i="4"/>
  <c r="U248" i="4"/>
  <c r="U236" i="4"/>
  <c r="U232" i="4"/>
  <c r="U224" i="4"/>
  <c r="U259" i="4"/>
  <c r="U291" i="4"/>
  <c r="U94" i="4"/>
  <c r="U102" i="4"/>
  <c r="U110" i="4"/>
  <c r="U126" i="4"/>
  <c r="U142" i="4"/>
  <c r="U158" i="4"/>
  <c r="U174" i="4"/>
  <c r="U190" i="4"/>
  <c r="U214" i="4"/>
  <c r="U231" i="4"/>
  <c r="U247" i="4"/>
  <c r="U263" i="4"/>
  <c r="U279" i="4"/>
  <c r="U295" i="4"/>
  <c r="H29" i="1" l="1"/>
  <c r="L4" i="4" s="1"/>
  <c r="H6" i="4" s="1"/>
  <c r="D29" i="3" s="1"/>
  <c r="H35" i="1"/>
  <c r="L2" i="4" s="1"/>
  <c r="H8" i="4" s="1"/>
  <c r="G8" i="4" s="1"/>
  <c r="F7" i="4" s="1"/>
  <c r="H26" i="1"/>
  <c r="L3" i="4" s="1"/>
  <c r="H7" i="4" s="1"/>
  <c r="D27" i="3" s="1"/>
  <c r="H32" i="1"/>
  <c r="L5" i="4" s="1"/>
  <c r="H5" i="4" s="1"/>
  <c r="D31" i="3" s="1"/>
  <c r="D23" i="1"/>
  <c r="H13" i="4"/>
  <c r="N53" i="1"/>
  <c r="N59" i="1" s="1"/>
  <c r="K38" i="5"/>
  <c r="K39" i="5" s="1"/>
  <c r="K37" i="5"/>
  <c r="G7" i="4" l="1"/>
  <c r="F6" i="4" s="1"/>
  <c r="G6" i="4" s="1"/>
  <c r="F5" i="4" s="1"/>
  <c r="G5" i="4" s="1"/>
  <c r="F4" i="4" s="1"/>
  <c r="N55" i="1"/>
  <c r="P55" i="1" s="1"/>
  <c r="P59" i="1"/>
  <c r="R59" i="1" s="1"/>
  <c r="N61" i="1" s="1"/>
  <c r="P61" i="1" s="1"/>
  <c r="N57" i="1"/>
  <c r="P57" i="1" s="1"/>
  <c r="D25" i="3"/>
  <c r="D37" i="3" s="1"/>
  <c r="I7" i="4"/>
  <c r="I6" i="4" s="1"/>
  <c r="I5" i="4" s="1"/>
  <c r="I4" i="4" s="1"/>
  <c r="F38" i="3"/>
  <c r="I12" i="4"/>
  <c r="I11" i="4" s="1"/>
  <c r="I10" i="4" s="1"/>
  <c r="G13" i="4"/>
  <c r="F12" i="4" s="1"/>
  <c r="G12" i="4" s="1"/>
  <c r="F11" i="4" s="1"/>
  <c r="G11" i="4" s="1"/>
  <c r="F10" i="4" s="1"/>
  <c r="G10" i="4" s="1"/>
  <c r="N73" i="1" l="1"/>
  <c r="N78" i="1"/>
  <c r="R61" i="1"/>
  <c r="N68" i="1" s="1"/>
  <c r="P68" i="1" s="1"/>
  <c r="R68" i="1" s="1"/>
  <c r="H3" i="4"/>
  <c r="D47" i="3" s="1"/>
  <c r="P73" i="1"/>
  <c r="H4" i="4" s="1"/>
  <c r="G4" i="4" s="1"/>
  <c r="F3" i="4" s="1"/>
  <c r="G3" i="4" l="1"/>
  <c r="F2" i="4" s="1"/>
  <c r="H2" i="4"/>
  <c r="D49" i="3" s="1"/>
  <c r="P78" i="1"/>
  <c r="R78" i="1" s="1"/>
  <c r="F56" i="3"/>
  <c r="R73" i="1"/>
  <c r="I3" i="4"/>
  <c r="I2" i="4" s="1"/>
  <c r="J3" i="4"/>
  <c r="J2" i="4" s="1"/>
  <c r="D45" i="3"/>
  <c r="D55" i="3" l="1"/>
  <c r="D30" i="5" s="1"/>
  <c r="W270" i="4" s="1"/>
  <c r="G2" i="4"/>
  <c r="W53" i="4"/>
  <c r="W114" i="4"/>
  <c r="W278" i="4"/>
  <c r="W214" i="4"/>
  <c r="W115" i="4"/>
  <c r="W162" i="4"/>
  <c r="W143" i="4"/>
  <c r="W40" i="4"/>
  <c r="W32" i="4"/>
  <c r="W25" i="4"/>
  <c r="W62" i="4"/>
  <c r="W231" i="4"/>
  <c r="W134" i="4"/>
  <c r="W301" i="4"/>
  <c r="D40" i="5"/>
  <c r="D41" i="5" s="1"/>
  <c r="W66" i="4"/>
  <c r="W241" i="4"/>
  <c r="W96" i="4"/>
  <c r="W218" i="4"/>
  <c r="W196" i="4"/>
  <c r="W59" i="4"/>
  <c r="W139" i="4"/>
  <c r="W34" i="4"/>
  <c r="W176" i="4"/>
  <c r="W215" i="4"/>
  <c r="W108" i="4"/>
  <c r="W229" i="4"/>
  <c r="W72" i="4"/>
  <c r="W43" i="4"/>
  <c r="W35" i="4"/>
  <c r="W248" i="4"/>
  <c r="W204" i="4"/>
  <c r="W182" i="4"/>
  <c r="W137" i="4"/>
  <c r="W30" i="4"/>
  <c r="W20" i="4"/>
  <c r="W168" i="4"/>
  <c r="W49" i="4"/>
  <c r="W144" i="4"/>
  <c r="W116" i="4"/>
  <c r="W197" i="4"/>
  <c r="W227" i="4"/>
  <c r="W13" i="4"/>
  <c r="W58" i="4"/>
  <c r="W130" i="4"/>
  <c r="W288" i="4"/>
  <c r="W256" i="4"/>
  <c r="W244" i="4"/>
  <c r="W202" i="4"/>
  <c r="W113" i="4"/>
  <c r="W99" i="4"/>
  <c r="W177" i="4"/>
  <c r="W165" i="4"/>
  <c r="W133" i="4"/>
  <c r="W38" i="4"/>
  <c r="W18" i="4"/>
  <c r="W83" i="4"/>
  <c r="W17" i="4"/>
  <c r="W70" i="4"/>
  <c r="W110" i="4"/>
  <c r="W5" i="4"/>
  <c r="W84" i="4"/>
  <c r="W213" i="4"/>
  <c r="W195" i="4"/>
  <c r="W21" i="4"/>
  <c r="W296" i="4"/>
  <c r="W173" i="4"/>
  <c r="W131" i="4"/>
  <c r="W61" i="4"/>
  <c r="W203" i="4"/>
  <c r="W274" i="4"/>
  <c r="W160" i="4"/>
  <c r="W261" i="4"/>
  <c r="W284" i="4"/>
  <c r="W242" i="4"/>
  <c r="W121" i="4"/>
  <c r="W180" i="4"/>
  <c r="W118" i="4"/>
  <c r="W9" i="4"/>
  <c r="W80" i="4"/>
  <c r="W153" i="4"/>
  <c r="W291" i="4"/>
  <c r="W217" i="4"/>
  <c r="W220" i="4"/>
  <c r="W36" i="4"/>
  <c r="W81" i="4"/>
  <c r="W33" i="4"/>
  <c r="W185" i="4" l="1"/>
  <c r="W267" i="4"/>
  <c r="W4" i="4"/>
  <c r="W117" i="4"/>
  <c r="W179" i="4"/>
  <c r="W258" i="4"/>
  <c r="W259" i="4"/>
  <c r="W152" i="4"/>
  <c r="W149" i="4"/>
  <c r="W272" i="4"/>
  <c r="W289" i="4"/>
  <c r="W68" i="4"/>
  <c r="W91" i="4"/>
  <c r="W175" i="4"/>
  <c r="W222" i="4"/>
  <c r="W111" i="4"/>
  <c r="W97" i="4"/>
  <c r="W243" i="4"/>
  <c r="W65" i="4"/>
  <c r="W207" i="4"/>
  <c r="W287" i="4"/>
  <c r="W252" i="4"/>
  <c r="W293" i="4"/>
  <c r="W279" i="4"/>
  <c r="W67" i="4"/>
  <c r="W123" i="4"/>
  <c r="W154" i="4"/>
  <c r="W224" i="4"/>
  <c r="W298" i="4"/>
  <c r="W106" i="4"/>
  <c r="W245" i="4"/>
  <c r="W271" i="4"/>
  <c r="W8" i="4"/>
  <c r="W125" i="4"/>
  <c r="W194" i="4"/>
  <c r="W300" i="4"/>
  <c r="W299" i="4"/>
  <c r="W255" i="4"/>
  <c r="W12" i="4"/>
  <c r="W166" i="4"/>
  <c r="W260" i="4"/>
  <c r="W19" i="4"/>
  <c r="W187" i="4"/>
  <c r="W263" i="4"/>
  <c r="W63" i="4"/>
  <c r="W135" i="4"/>
  <c r="W107" i="4"/>
  <c r="W281" i="4"/>
  <c r="W146" i="4"/>
  <c r="W246" i="4"/>
  <c r="W206" i="4"/>
  <c r="W71" i="4"/>
  <c r="W167" i="4"/>
  <c r="W127" i="4"/>
  <c r="W16" i="4"/>
  <c r="W7" i="4"/>
  <c r="W94" i="4"/>
  <c r="W6" i="4"/>
  <c r="W205" i="4"/>
  <c r="W219" i="4"/>
  <c r="W88" i="4"/>
  <c r="W74" i="4"/>
  <c r="W249" i="4"/>
  <c r="W240" i="4"/>
  <c r="W186" i="4"/>
  <c r="W181" i="4"/>
  <c r="W54" i="4"/>
  <c r="W93" i="4"/>
  <c r="W41" i="4"/>
  <c r="W23" i="4"/>
  <c r="W277" i="4"/>
  <c r="W10" i="4"/>
  <c r="W120" i="4"/>
  <c r="W290" i="4"/>
  <c r="W236" i="4"/>
  <c r="W103" i="4"/>
  <c r="W169" i="4"/>
  <c r="W52" i="4"/>
  <c r="W69" i="4"/>
  <c r="W102" i="4"/>
  <c r="W31" i="4"/>
  <c r="W140" i="4"/>
  <c r="W104" i="4"/>
  <c r="W98" i="4"/>
  <c r="W266" i="4"/>
  <c r="W212" i="4"/>
  <c r="W75" i="4"/>
  <c r="W145" i="4"/>
  <c r="W28" i="4"/>
  <c r="W184" i="4"/>
  <c r="W239" i="4"/>
  <c r="W126" i="4"/>
  <c r="W235" i="4"/>
  <c r="W95" i="4"/>
  <c r="W78" i="4"/>
  <c r="W170" i="4"/>
  <c r="W209" i="4"/>
  <c r="W163" i="4"/>
  <c r="W15" i="4"/>
  <c r="W188" i="4"/>
  <c r="W233" i="4"/>
  <c r="W150" i="4"/>
  <c r="W124" i="4"/>
  <c r="W90" i="4"/>
  <c r="W302" i="4"/>
  <c r="W238" i="4"/>
  <c r="W190" i="4"/>
  <c r="W178" i="4"/>
  <c r="W159" i="4"/>
  <c r="W48" i="4"/>
  <c r="W105" i="4"/>
  <c r="W172" i="4"/>
  <c r="W199" i="4"/>
  <c r="W39" i="4"/>
  <c r="W237" i="4"/>
  <c r="W283" i="4"/>
  <c r="W257" i="4"/>
  <c r="W297" i="4"/>
  <c r="W282" i="4"/>
  <c r="W228" i="4"/>
  <c r="W109" i="4"/>
  <c r="W161" i="4"/>
  <c r="W44" i="4"/>
  <c r="W73" i="4"/>
  <c r="W136" i="4"/>
  <c r="W60" i="4"/>
  <c r="W132" i="4"/>
  <c r="W225" i="4"/>
  <c r="W82" i="4"/>
  <c r="W280" i="4"/>
  <c r="W216" i="4"/>
  <c r="W79" i="4"/>
  <c r="W157" i="4"/>
  <c r="W45" i="4"/>
  <c r="W254" i="4"/>
  <c r="W286" i="4"/>
  <c r="W64" i="4"/>
  <c r="W193" i="4"/>
  <c r="W265" i="4"/>
  <c r="W247" i="4"/>
  <c r="W141" i="4"/>
  <c r="W264" i="4"/>
  <c r="W55" i="4"/>
  <c r="W232" i="4"/>
  <c r="W221" i="4"/>
  <c r="W14" i="4"/>
  <c r="W200" i="4"/>
  <c r="W92" i="4"/>
  <c r="W46" i="4"/>
  <c r="W142" i="4"/>
  <c r="W26" i="4"/>
  <c r="W210" i="4"/>
  <c r="W275" i="4"/>
  <c r="W253" i="4"/>
  <c r="W47" i="4"/>
  <c r="W191" i="4"/>
  <c r="W164" i="4"/>
  <c r="W101" i="4"/>
  <c r="W50" i="4"/>
  <c r="W155" i="4"/>
  <c r="W174" i="4"/>
  <c r="W192" i="4"/>
  <c r="W234" i="4"/>
  <c r="W276" i="4"/>
  <c r="W51" i="4"/>
  <c r="W201" i="4"/>
  <c r="H40" i="5"/>
  <c r="H41" i="5" s="1"/>
  <c r="W285" i="4"/>
  <c r="W76" i="4"/>
  <c r="W223" i="4"/>
  <c r="W148" i="4"/>
  <c r="W87" i="4"/>
  <c r="W42" i="4"/>
  <c r="W147" i="4"/>
  <c r="W158" i="4"/>
  <c r="W119" i="4"/>
  <c r="W226" i="4"/>
  <c r="W268" i="4"/>
  <c r="W112" i="4"/>
  <c r="W29" i="4"/>
  <c r="W11" i="4"/>
  <c r="W211" i="4"/>
  <c r="W189" i="4"/>
  <c r="W3" i="4"/>
  <c r="X9" i="4" s="1"/>
  <c r="W86" i="4"/>
  <c r="W57" i="4"/>
  <c r="W22" i="4"/>
  <c r="W129" i="4"/>
  <c r="W171" i="4"/>
  <c r="W85" i="4"/>
  <c r="W208" i="4"/>
  <c r="W250" i="4"/>
  <c r="W292" i="4"/>
  <c r="W37" i="4"/>
  <c r="W138" i="4"/>
  <c r="W122" i="4"/>
  <c r="W251" i="4"/>
  <c r="W269" i="4"/>
  <c r="W100" i="4"/>
  <c r="W295" i="4"/>
  <c r="W128" i="4"/>
  <c r="W156" i="4"/>
  <c r="W77" i="4"/>
  <c r="W24" i="4"/>
  <c r="X24" i="4" s="1"/>
  <c r="W56" i="4"/>
  <c r="W151" i="4"/>
  <c r="W183" i="4"/>
  <c r="W89" i="4"/>
  <c r="X89" i="4" s="1"/>
  <c r="W198" i="4"/>
  <c r="W230" i="4"/>
  <c r="W262" i="4"/>
  <c r="W294" i="4"/>
  <c r="X294" i="4" s="1"/>
  <c r="W273" i="4"/>
  <c r="W27" i="4"/>
  <c r="X195" i="4"/>
  <c r="X99" i="4"/>
  <c r="X72" i="4"/>
  <c r="X257" i="4"/>
  <c r="X21" i="4"/>
  <c r="X17" i="4"/>
  <c r="X274" i="4"/>
  <c r="X70" i="4"/>
  <c r="X204" i="4"/>
  <c r="X149" i="4"/>
  <c r="X40" i="4"/>
  <c r="X115" i="4"/>
  <c r="X45" i="4"/>
  <c r="X173" i="4"/>
  <c r="X215" i="4"/>
  <c r="X220" i="4"/>
  <c r="X55" i="4"/>
  <c r="X150" i="4"/>
  <c r="X261" i="4"/>
  <c r="X131" i="4"/>
  <c r="X18" i="4"/>
  <c r="X202" i="4"/>
  <c r="X144" i="4"/>
  <c r="X52" i="4"/>
  <c r="K40" i="5" s="1"/>
  <c r="K41" i="5" s="1"/>
  <c r="X108" i="4"/>
  <c r="X34" i="4"/>
  <c r="X297" i="4"/>
  <c r="X289" i="4"/>
  <c r="X162" i="4"/>
  <c r="X270" i="4"/>
  <c r="X58" i="4"/>
  <c r="X140" i="4"/>
  <c r="X258" i="4"/>
  <c r="X259" i="4"/>
  <c r="X59" i="4"/>
  <c r="X241" i="4"/>
  <c r="X199" i="4"/>
  <c r="X63" i="4"/>
  <c r="X158" i="4"/>
  <c r="X281" i="4"/>
  <c r="X122" i="4" l="1"/>
  <c r="X129" i="4"/>
  <c r="X29" i="4"/>
  <c r="X87" i="4"/>
  <c r="X276" i="4"/>
  <c r="X191" i="4"/>
  <c r="X92" i="4"/>
  <c r="X247" i="4"/>
  <c r="X225" i="4"/>
  <c r="X228" i="4"/>
  <c r="X172" i="4"/>
  <c r="X178" i="4"/>
  <c r="X188" i="4"/>
  <c r="X170" i="4"/>
  <c r="X126" i="4"/>
  <c r="X98" i="4"/>
  <c r="X102" i="4"/>
  <c r="X103" i="4"/>
  <c r="X10" i="4"/>
  <c r="X93" i="4"/>
  <c r="X240" i="4"/>
  <c r="X219" i="4"/>
  <c r="X7" i="4"/>
  <c r="X71" i="4"/>
  <c r="X263" i="4"/>
  <c r="X166" i="4"/>
  <c r="X300" i="4"/>
  <c r="X271" i="4"/>
  <c r="X224" i="4"/>
  <c r="X279" i="4"/>
  <c r="X207" i="4"/>
  <c r="X111" i="4"/>
  <c r="X68" i="4"/>
  <c r="X152" i="4"/>
  <c r="X117" i="4"/>
  <c r="X76" i="4"/>
  <c r="X134" i="4"/>
  <c r="X176" i="4"/>
  <c r="X137" i="4"/>
  <c r="X266" i="4"/>
  <c r="X127" i="4"/>
  <c r="X218" i="4"/>
  <c r="X35" i="4"/>
  <c r="X267" i="4"/>
  <c r="X110" i="4"/>
  <c r="X121" i="4"/>
  <c r="X95" i="4"/>
  <c r="X290" i="4"/>
  <c r="X146" i="4"/>
  <c r="X231" i="4"/>
  <c r="X130" i="4"/>
  <c r="X233" i="4"/>
  <c r="X160" i="4"/>
  <c r="X169" i="4"/>
  <c r="X295" i="4"/>
  <c r="X250" i="4"/>
  <c r="X3" i="4"/>
  <c r="X118" i="4"/>
  <c r="X298" i="4"/>
  <c r="X248" i="4"/>
  <c r="X36" i="4"/>
  <c r="X61" i="4"/>
  <c r="X38" i="4"/>
  <c r="X153" i="4"/>
  <c r="X133" i="4"/>
  <c r="X227" i="4"/>
  <c r="X62" i="4"/>
  <c r="X214" i="4"/>
  <c r="X53" i="4"/>
  <c r="X67" i="4"/>
  <c r="X299" i="4"/>
  <c r="X180" i="4"/>
  <c r="X83" i="4"/>
  <c r="X217" i="4"/>
  <c r="X242" i="4"/>
  <c r="X235" i="4"/>
  <c r="X244" i="4"/>
  <c r="X31" i="4"/>
  <c r="X157" i="4"/>
  <c r="X43" i="4"/>
  <c r="X139" i="4"/>
  <c r="X260" i="4"/>
  <c r="X94" i="4"/>
  <c r="X159" i="4"/>
  <c r="X302" i="4"/>
  <c r="X185" i="4"/>
  <c r="X116" i="4"/>
  <c r="X179" i="4"/>
  <c r="X229" i="4"/>
  <c r="X54" i="4"/>
  <c r="X143" i="4"/>
  <c r="X226" i="4"/>
  <c r="X81" i="4"/>
  <c r="X28" i="4"/>
  <c r="X8" i="4"/>
  <c r="X186" i="4"/>
  <c r="X84" i="4"/>
  <c r="X46" i="4"/>
  <c r="X296" i="4"/>
  <c r="X256" i="4"/>
  <c r="X82" i="4"/>
  <c r="X167" i="4"/>
  <c r="X278" i="4"/>
  <c r="X284" i="4"/>
  <c r="X20" i="4"/>
  <c r="X203" i="4"/>
  <c r="X33" i="4"/>
  <c r="X80" i="4"/>
  <c r="X287" i="4"/>
  <c r="X5" i="4"/>
  <c r="X165" i="4"/>
  <c r="X106" i="4"/>
  <c r="X168" i="4"/>
  <c r="X41" i="4"/>
  <c r="X109" i="4"/>
  <c r="X66" i="4"/>
  <c r="X32" i="4"/>
  <c r="X113" i="4"/>
  <c r="X13" i="4"/>
  <c r="X30" i="4"/>
  <c r="X120" i="4"/>
  <c r="X136" i="4"/>
  <c r="X196" i="4"/>
  <c r="X301" i="4"/>
  <c r="X25" i="4"/>
  <c r="X119" i="4"/>
  <c r="X285" i="4"/>
  <c r="X155" i="4"/>
  <c r="X210" i="4"/>
  <c r="X232" i="4"/>
  <c r="X286" i="4"/>
  <c r="X79" i="4"/>
  <c r="X73" i="4"/>
  <c r="X283" i="4"/>
  <c r="X90" i="4"/>
  <c r="X145" i="4"/>
  <c r="X175" i="4"/>
  <c r="X88" i="4"/>
  <c r="X23" i="4"/>
  <c r="X49" i="4"/>
  <c r="X114" i="4"/>
  <c r="X91" i="4"/>
  <c r="X181" i="4"/>
  <c r="X182" i="4"/>
  <c r="X288" i="4"/>
  <c r="X213" i="4"/>
  <c r="X97" i="4"/>
  <c r="X209" i="4"/>
  <c r="X177" i="4"/>
  <c r="X246" i="4"/>
  <c r="X96" i="4"/>
  <c r="X212" i="4"/>
  <c r="X264" i="4"/>
  <c r="X291" i="4"/>
  <c r="X197" i="4"/>
  <c r="X27" i="4"/>
  <c r="X230" i="4"/>
  <c r="X151" i="4"/>
  <c r="X156" i="4"/>
  <c r="X269" i="4"/>
  <c r="X37" i="4"/>
  <c r="X85" i="4"/>
  <c r="X57" i="4"/>
  <c r="X211" i="4"/>
  <c r="X268" i="4"/>
  <c r="X147" i="4"/>
  <c r="X223" i="4"/>
  <c r="X201" i="4"/>
  <c r="X192" i="4"/>
  <c r="X101" i="4"/>
  <c r="X253" i="4"/>
  <c r="X142" i="4"/>
  <c r="X14" i="4"/>
  <c r="X193" i="4"/>
  <c r="X280" i="4"/>
  <c r="X60" i="4"/>
  <c r="X161" i="4"/>
  <c r="X39" i="4"/>
  <c r="X48" i="4"/>
  <c r="X238" i="4"/>
  <c r="X163" i="4"/>
  <c r="X184" i="4"/>
  <c r="X74" i="4"/>
  <c r="X6" i="4"/>
  <c r="X19" i="4"/>
  <c r="X243" i="4"/>
  <c r="X272" i="4"/>
  <c r="X262" i="4"/>
  <c r="X183" i="4"/>
  <c r="X77" i="4"/>
  <c r="X100" i="4"/>
  <c r="X138" i="4"/>
  <c r="X208" i="4"/>
  <c r="X22" i="4"/>
  <c r="X189" i="4"/>
  <c r="X112" i="4"/>
  <c r="X148" i="4"/>
  <c r="X234" i="4"/>
  <c r="X50" i="4"/>
  <c r="X47" i="4"/>
  <c r="X26" i="4"/>
  <c r="X200" i="4"/>
  <c r="X265" i="4"/>
  <c r="X254" i="4"/>
  <c r="X216" i="4"/>
  <c r="X132" i="4"/>
  <c r="X44" i="4"/>
  <c r="X282" i="4"/>
  <c r="X237" i="4"/>
  <c r="X105" i="4"/>
  <c r="X190" i="4"/>
  <c r="X124" i="4"/>
  <c r="X15" i="4"/>
  <c r="X78" i="4"/>
  <c r="X239" i="4"/>
  <c r="X75" i="4"/>
  <c r="X104" i="4"/>
  <c r="X69" i="4"/>
  <c r="X236" i="4"/>
  <c r="X277" i="4"/>
  <c r="X249" i="4"/>
  <c r="X205" i="4"/>
  <c r="X16" i="4"/>
  <c r="X206" i="4"/>
  <c r="X107" i="4"/>
  <c r="X187" i="4"/>
  <c r="X12" i="4"/>
  <c r="X194" i="4"/>
  <c r="X245" i="4"/>
  <c r="X154" i="4"/>
  <c r="X293" i="4"/>
  <c r="X65" i="4"/>
  <c r="X222" i="4"/>
  <c r="X4" i="4"/>
  <c r="X135" i="4"/>
  <c r="X255" i="4"/>
  <c r="X125" i="4"/>
  <c r="X123" i="4"/>
  <c r="X252" i="4"/>
  <c r="X273" i="4"/>
  <c r="X198" i="4"/>
  <c r="X56" i="4"/>
  <c r="X128" i="4"/>
  <c r="X251" i="4"/>
  <c r="X292" i="4"/>
  <c r="X171" i="4"/>
  <c r="X86" i="4"/>
  <c r="X11" i="4"/>
  <c r="X42" i="4"/>
  <c r="X51" i="4"/>
  <c r="X174" i="4"/>
  <c r="X164" i="4"/>
  <c r="X275" i="4"/>
  <c r="X221" i="4"/>
  <c r="X141" i="4"/>
  <c r="X64" i="4"/>
</calcChain>
</file>

<file path=xl/comments1.xml><?xml version="1.0" encoding="utf-8"?>
<comments xmlns="http://schemas.openxmlformats.org/spreadsheetml/2006/main">
  <authors>
    <author>Tekijä</author>
  </authors>
  <commentList>
    <comment ref="F23" authorId="0">
      <text>
        <r>
          <rPr>
            <sz val="9"/>
            <color indexed="81"/>
            <rFont val="Tahoma"/>
            <family val="2"/>
          </rPr>
          <t>Arvo voidaan asettaa 0-100% välille kuvaamaan kuinka todennäköisesti toimenpiteet toimivat suunnittelusti. Pienemmän arvon kuin 100 % käyttäminen tarkoittaa suurempia vahinkoja (pienempää toimenpiteellä saavutettavissa olevaa hyötyä)</t>
        </r>
      </text>
    </comment>
    <comment ref="D26" authorId="0">
      <text>
        <r>
          <rPr>
            <sz val="9"/>
            <color indexed="81"/>
            <rFont val="Tahoma"/>
            <family val="2"/>
          </rPr>
          <t>viite: Priest et al 2011 (https://www.tandfonline.com/doi/full/10.1080/17477891.2011.579335 )</t>
        </r>
      </text>
    </comment>
    <comment ref="F26" authorId="0">
      <text>
        <r>
          <rPr>
            <sz val="9"/>
            <color indexed="81"/>
            <rFont val="Tahoma"/>
            <family val="2"/>
          </rPr>
          <t>viite: Priest et al 2011 (https://www.tandfonline.com/doi/full/10.1080/17477891.2011.579335 )</t>
        </r>
      </text>
    </comment>
    <comment ref="D29" authorId="0">
      <text>
        <r>
          <rPr>
            <sz val="9"/>
            <color indexed="81"/>
            <rFont val="Tahoma"/>
            <family val="2"/>
          </rPr>
          <t>viite: Priest et al 2011 (https://www.tandfonline.com/doi/full/10.1080/17477891.2011.579335 )</t>
        </r>
      </text>
    </comment>
    <comment ref="F29" authorId="0">
      <text>
        <r>
          <rPr>
            <sz val="9"/>
            <color indexed="81"/>
            <rFont val="Tahoma"/>
            <family val="2"/>
          </rPr>
          <t>viite: Priest et al 2011 (https://www.tandfonline.com/doi/full/10.1080/17477891.2011.579335 )</t>
        </r>
      </text>
    </comment>
    <comment ref="D32" authorId="0">
      <text>
        <r>
          <rPr>
            <sz val="9"/>
            <color indexed="81"/>
            <rFont val="Tahoma"/>
            <family val="2"/>
          </rPr>
          <t>viite: Priest et al 2011 (https://www.tandfonline.com/doi/full/10.1080/17477891.2011.579335 )</t>
        </r>
      </text>
    </comment>
    <comment ref="F32" authorId="0">
      <text>
        <r>
          <rPr>
            <sz val="9"/>
            <color indexed="81"/>
            <rFont val="Tahoma"/>
            <family val="2"/>
          </rPr>
          <t>viite: Priest et al 2011 (https://www.tandfonline.com/doi/full/10.1080/17477891.2011.579335 )</t>
        </r>
      </text>
    </comment>
    <comment ref="D48" authorId="0">
      <text>
        <r>
          <rPr>
            <sz val="9"/>
            <color indexed="81"/>
            <rFont val="Tahoma"/>
            <family val="2"/>
          </rPr>
          <t>Viite: Priest &amp; Parker 2012 (Investigation of the Relationship between Flood Warning Lead Time and Flood Warning Response. Report for Environment Agency Evidence Project SC090039 Stage 2.)</t>
        </r>
      </text>
    </comment>
    <comment ref="F48" authorId="0">
      <text>
        <r>
          <rPr>
            <sz val="9"/>
            <color indexed="81"/>
            <rFont val="Tahoma"/>
            <family val="2"/>
          </rPr>
          <t>Viite: Priest &amp; Parker 2012 (Investigation of the Relationship between Flood Warning Lead Time and Flood Warning Response. Report for Environment Agency Evidence Project SC090039 Stage 2.)</t>
        </r>
      </text>
    </comment>
    <comment ref="D52" authorId="0">
      <text>
        <r>
          <rPr>
            <sz val="9"/>
            <color indexed="81"/>
            <rFont val="Tahoma"/>
            <family val="2"/>
          </rPr>
          <t>Ottaen huomioon mm. varoitusten kattavuus ja kiinteistöjen / asukkaiden mahdollisuus vastaanottaa niitä</t>
        </r>
      </text>
    </comment>
    <comment ref="F52" authorId="0">
      <text>
        <r>
          <rPr>
            <sz val="9"/>
            <color indexed="81"/>
            <rFont val="Tahoma"/>
            <family val="2"/>
          </rPr>
          <t>Viite: Kiinteistöjen suojautuminen jakaantuu 40% pyyviin ja 60% tilapäisiin toimenpiteisiin (Iso-Britannia, EA 2015, https://www.gov.uk/government/publications/quantifying-the-benefits-of-flood-risk-management-actions-and-advice)</t>
        </r>
      </text>
    </comment>
    <comment ref="H52" authorId="0">
      <text>
        <r>
          <rPr>
            <sz val="9"/>
            <color indexed="81"/>
            <rFont val="Tahoma"/>
            <family val="2"/>
          </rPr>
          <t>Kuinka suuri osuus vahingoista voidaan keskimäärin välttää toimenpiteellä jos se on toteutusvalmiudessa?</t>
        </r>
      </text>
    </comment>
    <comment ref="J52" authorId="0">
      <text>
        <r>
          <rPr>
            <sz val="9"/>
            <color indexed="81"/>
            <rFont val="Tahoma"/>
            <family val="2"/>
          </rPr>
          <t>Olettaen, että kiinteistöt ovat saaneet tulvavaroituksen ja heillä on mahdollisuus toteuttaa toimenpiteet</t>
        </r>
      </text>
    </comment>
    <comment ref="N53" authorId="0">
      <text>
        <r>
          <rPr>
            <sz val="9"/>
            <color indexed="81"/>
            <rFont val="Tahoma"/>
            <family val="2"/>
          </rPr>
          <t>Nämä perustuvat ainoastaan rakennusvahinkoihin</t>
        </r>
      </text>
    </comment>
    <comment ref="F55" authorId="0">
      <text>
        <r>
          <rPr>
            <sz val="9"/>
            <color indexed="81"/>
            <rFont val="Tahoma"/>
            <family val="2"/>
          </rPr>
          <t>viite: Priest et al 2011 (https://www.tandfonline.com/doi/full/10.1080/17477891.2011.579335 )</t>
        </r>
      </text>
    </comment>
    <comment ref="H55" authorId="0">
      <text>
        <r>
          <rPr>
            <sz val="9"/>
            <color indexed="81"/>
            <rFont val="Tahoma"/>
            <family val="2"/>
          </rPr>
          <t>Viite: Thurston et al. 2008 (vaihtelu n. 65-84 %) Developing the Evidence Base for Flood Resistance and Resilience. Joint Defra/EA Flood and Coastal Erosion Risk Management R&amp;D Programme. R&amp;D Summary Report FD2607/TR1.</t>
        </r>
      </text>
    </comment>
    <comment ref="F57" authorId="0">
      <text>
        <r>
          <rPr>
            <sz val="9"/>
            <color indexed="81"/>
            <rFont val="Tahoma"/>
            <family val="2"/>
          </rPr>
          <t>viite: Kiinteistökohtainen tulvasuojausinnokkuus 8% kiinteistöistä (jonka jakaantuminen 40% pysyviin ja 60% tilapäisiin etukäteen suunniteltuihin toimenpiteisiin -&gt; tilapäinen suojautuminen 5%) Priest et al 2011 (https://www.tandfonline.com/doi/full/10.1080/17477891.2011.579335 )
Tässä voidaan kuitenkin käyttää suurempaa arvoa, koska etukäteen suunnittelmattomien kiinteistökohtaisten tilapäisten tulvasuojausten toteutusinnokkuus on suurempi, karkea arvio 20%</t>
        </r>
      </text>
    </comment>
    <comment ref="H57" authorId="0">
      <text>
        <r>
          <rPr>
            <sz val="9"/>
            <color indexed="81"/>
            <rFont val="Tahoma"/>
            <family val="2"/>
          </rPr>
          <t>Viite: Thurston et al. 2008 (vaihtelu n. 65-84 %) Developing the Evidence Base for Flood Resistance and Resilience. Joint Defra/EA Flood and Coastal Erosion Risk Management R&amp;D Programme. R&amp;D Summary Report FD2607/TR1.</t>
        </r>
      </text>
    </comment>
    <comment ref="F61" authorId="0">
      <text>
        <r>
          <rPr>
            <sz val="9"/>
            <color indexed="81"/>
            <rFont val="Tahoma"/>
            <family val="2"/>
          </rPr>
          <t>viite: Priest et al 2011 (https://www.tandfonline.com/doi/full/10.1080/17477891.2011.579335 )</t>
        </r>
      </text>
    </comment>
    <comment ref="D66" authorId="0">
      <text>
        <r>
          <rPr>
            <sz val="9"/>
            <color indexed="81"/>
            <rFont val="Tahoma"/>
            <family val="2"/>
          </rPr>
          <t>Ottaen huomioon mm. varoitusten kattavuus ja kiinteistöjen / asukkaiden mahdollisuus vastaanottaa niitä</t>
        </r>
      </text>
    </comment>
    <comment ref="J66" authorId="0">
      <text>
        <r>
          <rPr>
            <sz val="9"/>
            <color indexed="81"/>
            <rFont val="Tahoma"/>
            <family val="2"/>
          </rPr>
          <t>Kuinka suuren prosenttiosuuden siirrettävissä olevasta irtaimistosta asukkaat voivat siirtää annetussa ajassa</t>
        </r>
      </text>
    </comment>
    <comment ref="F68" authorId="0">
      <text>
        <r>
          <rPr>
            <sz val="9"/>
            <color indexed="81"/>
            <rFont val="Tahoma"/>
            <family val="2"/>
          </rPr>
          <t>Viite: n. 30% riippuen vesisyvyydestä (MultiColouredManual 2012).
Muut vaihtoehtoiset viitteet: 5% (Silander &amp; Parjanne 2012), tai 10% (Haahtela 2011)
, tai 10 % Priest et al 2011 (https://www.tandfonline.com/doi/full/10.1080/17477891.2011.579335 ), tai 52% Parker 2007 &amp; EA 2015 (Quantifying the benefits of flood risk management actions and advice
Report – SC090039/R Stage 3)</t>
        </r>
      </text>
    </comment>
    <comment ref="H68" authorId="0">
      <text>
        <r>
          <rPr>
            <sz val="9"/>
            <color indexed="81"/>
            <rFont val="Tahoma"/>
            <family val="2"/>
          </rPr>
          <t>41%, viite: Priest et al 2011 (https://www.tandfonline.com/doi/full/10.1080/17477891.2011.579335 )</t>
        </r>
      </text>
    </comment>
    <comment ref="N68" authorId="0">
      <text>
        <r>
          <rPr>
            <sz val="9"/>
            <color indexed="81"/>
            <rFont val="Tahoma"/>
            <family val="2"/>
          </rPr>
          <t>Nämä perustuvat ainoastaan rakennusvahinkoihin</t>
        </r>
      </text>
    </comment>
    <comment ref="H72" authorId="0">
      <text>
        <r>
          <rPr>
            <sz val="9"/>
            <color indexed="81"/>
            <rFont val="Tahoma"/>
            <family val="2"/>
          </rPr>
          <t>Kuinka suuri osuus vahingoista voidaan keskimäärin välttää toimenpiteellä jos se on toteutusvalmiudessa?</t>
        </r>
      </text>
    </comment>
    <comment ref="N73" authorId="0">
      <text>
        <r>
          <rPr>
            <sz val="9"/>
            <color indexed="81"/>
            <rFont val="Tahoma"/>
            <family val="2"/>
          </rPr>
          <t>Nämä perustuvat ainoastaan muihin kuin rakennusvahinkoihin</t>
        </r>
      </text>
    </comment>
  </commentList>
</comments>
</file>

<file path=xl/comments2.xml><?xml version="1.0" encoding="utf-8"?>
<comments xmlns="http://schemas.openxmlformats.org/spreadsheetml/2006/main">
  <authors>
    <author>Tekijä</author>
  </authors>
  <commentList>
    <comment ref="B9" authorId="0">
      <text>
        <r>
          <rPr>
            <sz val="9"/>
            <color indexed="81"/>
            <rFont val="Tahoma"/>
            <family val="2"/>
          </rPr>
          <t>Tässä voi tarkastella joko yksittäistä toimenpidettä ja sen kustannuksia tai kaikkia alueen toimenpiteitä kustannuksineen. Tarkastelutavasta riippuen alla voidaan arvioida yksittäisen toimenpiteen tai koko alueen tulvariskien hallinnan kustannushyötyä.</t>
        </r>
      </text>
    </comment>
    <comment ref="D19" authorId="0">
      <text>
        <r>
          <rPr>
            <sz val="9"/>
            <color indexed="81"/>
            <rFont val="Tahoma"/>
            <family val="2"/>
          </rPr>
          <t xml:space="preserve">Tarkastelun suositeltu aikajänne n. 50v (-100v). Pitkäikäisillä ja isoilla toimenpiteillä, mieluummin 100v. Kannattaa kokeilla eri ajanjaksoja – kuvaa epävarmuutta
</t>
        </r>
      </text>
    </comment>
    <comment ref="D21" authorId="0">
      <text>
        <r>
          <rPr>
            <sz val="9"/>
            <color indexed="81"/>
            <rFont val="Tahoma"/>
            <family val="2"/>
          </rPr>
          <t>Oletus on 3,5 % (Parjanne 2014 https://www.ymparisto.fi/download/noname/%7B611129C6-E822-466E-AED3-7BCEC4BCE8EF%7D/100207)
Kannattaa kokeilla eri korkoja välillä 2-6 %, suositus kuitenkin käyttää 3-5 % (viitteet yo. Linkistä)</t>
        </r>
      </text>
    </comment>
    <comment ref="B40" authorId="0">
      <text>
        <r>
          <rPr>
            <sz val="9"/>
            <color indexed="81"/>
            <rFont val="Tahoma"/>
            <family val="2"/>
          </rPr>
          <t>Tässä verrataan lähtökohtaisesti yksittäisen toimenpiteen kustannuksia koko alueelta saatavissa oleviin hyötyihin. Eli toimenpide voi olla kannattava vaikka tämän sarakkeen perusteella ei niin olisikaan.</t>
        </r>
      </text>
    </comment>
  </commentList>
</comments>
</file>

<file path=xl/comments3.xml><?xml version="1.0" encoding="utf-8"?>
<comments xmlns="http://schemas.openxmlformats.org/spreadsheetml/2006/main">
  <authors>
    <author>Tekijä</author>
  </authors>
  <commentList>
    <comment ref="AB1" authorId="0">
      <text>
        <r>
          <rPr>
            <sz val="9"/>
            <color indexed="81"/>
            <rFont val="Tahoma"/>
            <family val="2"/>
          </rPr>
          <t>lähde \\kkg43\gispro\projekti\Tulva\Tulvariski\tilastot\tunnusluvut\merkittävät_tulvariskialueet &gt; vahinkoyhteenveto_11_2018.xlsm (välilehti kaikki)</t>
        </r>
      </text>
    </comment>
  </commentList>
</comments>
</file>

<file path=xl/sharedStrings.xml><?xml version="1.0" encoding="utf-8"?>
<sst xmlns="http://schemas.openxmlformats.org/spreadsheetml/2006/main" count="262" uniqueCount="170">
  <si>
    <t>x</t>
  </si>
  <si>
    <t>=</t>
  </si>
  <si>
    <t>+</t>
  </si>
  <si>
    <t>-</t>
  </si>
  <si>
    <t>⇒</t>
  </si>
  <si>
    <t>.</t>
  </si>
  <si>
    <t>ℹ</t>
  </si>
  <si>
    <t>Tulvariskien hallinnan toimenpiteiden kustannushyötytarkastelu</t>
  </si>
  <si>
    <t>Vahinkojen arvioinnin lähtötiedot</t>
  </si>
  <si>
    <t>Reagointiaika</t>
  </si>
  <si>
    <t>Yhteenveto -välilehdeltä</t>
  </si>
  <si>
    <t>Hyödyt</t>
  </si>
  <si>
    <t>TRHS-kustannushyötytyökalu</t>
  </si>
  <si>
    <t>Yhteensä</t>
  </si>
  <si>
    <t>Vahingot tulvavaara-alueella</t>
  </si>
  <si>
    <t>Vahingot tulvasuojellulla alueella (jäännösriski)</t>
  </si>
  <si>
    <t>Vältetyt vahingot</t>
  </si>
  <si>
    <t>Toiminta tulvatilanteessa</t>
  </si>
  <si>
    <t>Kiinteät rakenteet</t>
  </si>
  <si>
    <t>Kiinteät rakenteet ja muu rutiininomainen tulvasuojelu</t>
  </si>
  <si>
    <t>toimenpiteet, jotka eivät riipu tulvaennusteista / ajankohdasta</t>
  </si>
  <si>
    <t>Tilapäinen tulvasuojelu</t>
  </si>
  <si>
    <t>Rakenteelliset toimenpiteet</t>
  </si>
  <si>
    <t>Valmiustoimet</t>
  </si>
  <si>
    <t>esim. jäänsahaukset ja muut tulvan uhatessa tehtävät toimenpiteet</t>
  </si>
  <si>
    <t>Tulvansietokyvyn parantaminen</t>
  </si>
  <si>
    <t>Tulvavaarassa</t>
  </si>
  <si>
    <t>Tulvasuojelu</t>
  </si>
  <si>
    <t>Toimenpiteillä vältetyt vahingot</t>
  </si>
  <si>
    <t>&gt; 8 tuntia</t>
  </si>
  <si>
    <t>Yhdistettynä</t>
  </si>
  <si>
    <t>Välteyt vahingot</t>
  </si>
  <si>
    <t>Vahingot ennen toimenpiteitä</t>
  </si>
  <si>
    <t>Todelliset toimenpiteellä vältetyt vahingot</t>
  </si>
  <si>
    <t>Siirretty omaisuus</t>
  </si>
  <si>
    <t>Toimintavarmuus</t>
  </si>
  <si>
    <t>Kuinka usein toimenpiteet onnistuvat suunnitellusti?</t>
  </si>
  <si>
    <t>% siirrettävissä olevasta omaisuudesta turvassa</t>
  </si>
  <si>
    <t>% reagointiajassa siirrettävissä olevasta omaisuudesta turvassa</t>
  </si>
  <si>
    <t>% irtaimistovahinkojen osuus kokonaiskiinteistövahingoista</t>
  </si>
  <si>
    <t>% siirrettävän irtaimiston vahinkojen osuus kokonaisirtaimistovahingoista</t>
  </si>
  <si>
    <t>% kiinteistöistä jotka toteuttavat toimenpiteet</t>
  </si>
  <si>
    <t>% kiinteistöistä jotka saavat tulvavaroituksen</t>
  </si>
  <si>
    <t>Vahingot ennen</t>
  </si>
  <si>
    <t>Vätetty %</t>
  </si>
  <si>
    <t>Vahingot toimenpiteiden toteuttamisen jälkeen</t>
  </si>
  <si>
    <t>hyötyä mahdollista saavuttaa omatoimisella varautumisella</t>
  </si>
  <si>
    <t>hyötyä mahdollista saavuttaa rakenteellisilla (kiinteillä ja tarvittaessa toteutettavilla) toimenpiteillä</t>
  </si>
  <si>
    <t>Vahingot toimenpiteen toteutuksen jälkeen</t>
  </si>
  <si>
    <t>Muilla toimenpiteillä vältetyt vahingot</t>
  </si>
  <si>
    <t>Yhteensä n.</t>
  </si>
  <si>
    <t>(joista n.</t>
  </si>
  <si>
    <t>esim. pengerluukkujen avaaminen tai pumppujen käynnistäminen</t>
  </si>
  <si>
    <t>Tilapäinen kiinteistökohtainen suojautuminen</t>
  </si>
  <si>
    <t>Pysyvä kiinteistökohtainen suojautuminen</t>
  </si>
  <si>
    <t>Kiinteistökohtainen suojautuminen yht.</t>
  </si>
  <si>
    <t>esim. sokkelin suojaaminen muovilla</t>
  </si>
  <si>
    <t>esim. tulvaovet yms.</t>
  </si>
  <si>
    <t>esim. tulvankestävä alin kerros</t>
  </si>
  <si>
    <t>% tilapäisistä kiinteistökohtaisista toimenpiteistä valmiina</t>
  </si>
  <si>
    <t>Kiinteistöjen jakaantuminen reagointiaikojen perusteela</t>
  </si>
  <si>
    <t>tehokkuus (% toimenpiteellä vältettävissä olevista vahingoista)</t>
  </si>
  <si>
    <t>Rakenteellisen tulvantorjunnan toiminta tulvatilanteessa</t>
  </si>
  <si>
    <t>esim. tilapäisten tulvasuojeluratkaisujen käyttö</t>
  </si>
  <si>
    <t>Tilapäinen tulvasuojelu (etukäteen pelastuslaitoksen / ELYn suunnittelema)</t>
  </si>
  <si>
    <t>0 - 8 tuntia</t>
  </si>
  <si>
    <t>Nopea reagointi</t>
  </si>
  <si>
    <t>Hitaampi reagointi</t>
  </si>
  <si>
    <t>% kokonaisvahingon osuus kiinteistöillä jotka suojautuneet</t>
  </si>
  <si>
    <t>Tulvariskin vähentäminen</t>
  </si>
  <si>
    <t>toiminnalla tulvatilanteessa ja tarvittaessa toteutettavilla rakenteellisilla toimenpiteillä)</t>
  </si>
  <si>
    <t>Rakennusvahingot</t>
  </si>
  <si>
    <t>Muut rahallisesti arvioitavat vahingot</t>
  </si>
  <si>
    <t>Sopeutuvuus, rakennukset</t>
  </si>
  <si>
    <t>Sopeutuvuus, muut vahinkokohteet</t>
  </si>
  <si>
    <t xml:space="preserve">Yhteensä varatuminen:  </t>
  </si>
  <si>
    <t>Varautuminen</t>
  </si>
  <si>
    <t>esim. erilaiset suojaukset ja kiertoreitit yms.</t>
  </si>
  <si>
    <t>Tilapäiset tulvasuojaukset</t>
  </si>
  <si>
    <t>% kokonaisvahingon osuus kohteista jotka voidaan suojata</t>
  </si>
  <si>
    <t>Siirretty omaisuus, rakennukset</t>
  </si>
  <si>
    <t>toiminnalla tulvatilanteessa ennusteiden ja varoitusten avulla)</t>
  </si>
  <si>
    <t>v4. 17.4.2019 (AP /  SYKE)</t>
  </si>
  <si>
    <t>Teoreettiset toimenpiteillä saavutettavissa olevat hyödyt</t>
  </si>
  <si>
    <t>Lähtötiedot teoreettisen toimenpiteillä saavutettavissa olevan hyödyn laskentaan</t>
  </si>
  <si>
    <t>Hyöty-vahinkoarviot (tämä välilehti)</t>
  </si>
  <si>
    <t>Hyöty-vahinkoarvioiden lähtötiedot (tämä välilehti)</t>
  </si>
  <si>
    <t>Tällä välilehdellä on mahdollista muuttaa tai tarkentaa arvioissa tarvittavia tietoja. Oletuksena esitetyt arvot ovat valtakunnallisia arvioita, joita kuitenkin on tarpeen täsmentää alueellisesti. Hyöty-vahinkoarviot -välilehti päivittyy automaattisesti mikäli teet muutoksia tämän välilehden arvoihin.</t>
  </si>
  <si>
    <t>Kustannus-hyötyarviot (tämä välilehti)</t>
  </si>
  <si>
    <t>Toimenpiden kustannukset ja hyödyt</t>
  </si>
  <si>
    <t>Toimenpiteen kustannukset</t>
  </si>
  <si>
    <t>Investointi</t>
  </si>
  <si>
    <t>Suunnittelu</t>
  </si>
  <si>
    <t>Ylläpito (€/a)</t>
  </si>
  <si>
    <t>Käyttö (€/a)</t>
  </si>
  <si>
    <t>Vuosittaiset kustannukset (€/a)</t>
  </si>
  <si>
    <t>Kertakustannukset</t>
  </si>
  <si>
    <t>Tarkasteluajanjakso (a)</t>
  </si>
  <si>
    <t>diskonttokorko (%)</t>
  </si>
  <si>
    <t>diskonttaustekijä</t>
  </si>
  <si>
    <t>Toimenpiteen kustannukset ja hyödyt</t>
  </si>
  <si>
    <t>Kustannushyötytarkastelu</t>
  </si>
  <si>
    <t>Nettonykyarvo</t>
  </si>
  <si>
    <t xml:space="preserve">Nettonykyarvo positiivinen </t>
  </si>
  <si>
    <t>Sisäinen korkokanta</t>
  </si>
  <si>
    <t>Eli hyötyjen ja kustannusten nykyarvon erotus</t>
  </si>
  <si>
    <t>Eli toimenpide maksanut itsensä takaisin</t>
  </si>
  <si>
    <t>vuosi</t>
  </si>
  <si>
    <t>sis.korkokanta</t>
  </si>
  <si>
    <t>Eli korko jolla investoinnin nettonykyarvo on nolla (mitä suurempi, sen varmemmin toimenpide on kannattava)</t>
  </si>
  <si>
    <t>Vahingot tulvariskien hallinnan tavoitetasolla</t>
  </si>
  <si>
    <t>Eli ensimmäisellä välilehdellä lasketut tulvariskien hallinnan tavoitetason hyödyt jaettuna tarkastelujaksolla</t>
  </si>
  <si>
    <t>Sisäisen korkokannan laskenta teoreettisen hyödyn avulla</t>
  </si>
  <si>
    <t>Teoreettiset tavoitetason hyödyt tarkastelujaksolla (€/a)</t>
  </si>
  <si>
    <t>Teoreettisen tavoitetason hyödyn perusteella</t>
  </si>
  <si>
    <t>Tarkastelujakso ja korko</t>
  </si>
  <si>
    <t>Teoreettiset saavutettavissa olevat hyödyt</t>
  </si>
  <si>
    <t>Täydellisen tulvasuojelun vuosihyödyn odotusarvo (€/a)</t>
  </si>
  <si>
    <t>Toimenpiteen vuosihyödyt (€/a)</t>
  </si>
  <si>
    <t>Eli arvio toimenpiteen vuosittaisista hyödyistä</t>
  </si>
  <si>
    <t>Eli tavoitetason mukaisella täydellisellä tulvasuojelulla enimmillään saatava vuosittainen hyötyarvio</t>
  </si>
  <si>
    <t>Täydellisen tulvasuojelun odotusarvon perusteella</t>
  </si>
  <si>
    <t>Toimenpiteen vuosihyödyn perusteella</t>
  </si>
  <si>
    <t>Sisäisen korkokannan laskenta, täydellisen tulvasuojelun vuosihyödyn odotusarvolla</t>
  </si>
  <si>
    <t>Sisäisen korkokannan laskenta, toimenpiteen vuosihyödyn avulla</t>
  </si>
  <si>
    <t>merkittävien tulvariskialueiden vahinkotiedot</t>
  </si>
  <si>
    <t>Helsingin ja Espoon rannikkoalue</t>
  </si>
  <si>
    <t>Loviisan rannikkoalue</t>
  </si>
  <si>
    <t>Huittinen</t>
  </si>
  <si>
    <t>Pori</t>
  </si>
  <si>
    <t>Riihimäen keskusta</t>
  </si>
  <si>
    <t>Haminan ja Kotkan rannikkoalue</t>
  </si>
  <si>
    <t>Kymijoen alaosa</t>
  </si>
  <si>
    <t>Ilmajoki-Seinäjoki</t>
  </si>
  <si>
    <t>Laihia-Runsor</t>
  </si>
  <si>
    <t>Lapua</t>
  </si>
  <si>
    <t>Ylistaro-Vähäkyrö-Koivulahti</t>
  </si>
  <si>
    <t>Alavieska-Ylivieska</t>
  </si>
  <si>
    <t>Pudasjärven keskusta</t>
  </si>
  <si>
    <t>Ivalon taajama</t>
  </si>
  <si>
    <t>Kemijärven keskusta</t>
  </si>
  <si>
    <t>Kittilän kirkonkylä</t>
  </si>
  <si>
    <t>Rovaniemi</t>
  </si>
  <si>
    <t>Tornio</t>
  </si>
  <si>
    <t>Turun rannikkoalue</t>
  </si>
  <si>
    <t>Kemin rannikkoalue</t>
  </si>
  <si>
    <t>Lapväärtin taajama</t>
  </si>
  <si>
    <t>Pyhäjoen alaosa</t>
  </si>
  <si>
    <t>nro</t>
  </si>
  <si>
    <t>nimi</t>
  </si>
  <si>
    <t>vuosivahingon odotusarvo</t>
  </si>
  <si>
    <t>funktion tekijä a</t>
  </si>
  <si>
    <t>funktion tekijä b</t>
  </si>
  <si>
    <t>1/2a</t>
  </si>
  <si>
    <t>1/5a</t>
  </si>
  <si>
    <t>1/10a</t>
  </si>
  <si>
    <t>1/20a</t>
  </si>
  <si>
    <t>1/50a</t>
  </si>
  <si>
    <t>1/100a</t>
  </si>
  <si>
    <t>1/250a</t>
  </si>
  <si>
    <t>1/1000a</t>
  </si>
  <si>
    <t>Alue</t>
  </si>
  <si>
    <t>Tavoitetaso</t>
  </si>
  <si>
    <t>Vuosihyöty</t>
  </si>
  <si>
    <t>vahinkoarviot toistuvuuksittain</t>
  </si>
  <si>
    <t>täydellisen tulvasuojelun vuosihyödyn odotusarvo, tulvasuoejltua ja vesisyvyys ei tietoa -alueita ei otettu huomioon (jos yleisimpien tulvien toistuvuuksien kartat puuttuvat, oletettu vuosivahingon odotusarvo nollaksi)</t>
  </si>
  <si>
    <t>Vahinkoarvio</t>
  </si>
  <si>
    <t>Täytä valkopohjaiset solut vahinkotietojen osalta viereiseen laatikkoon. Jos muutat vain vahinkotietoja tällä välilehdellä, allaolevat arvot ja kuvaajat perustuvat kansallisiin keskiarvoihin. Tarkempien arvioiden tekemiseksi muuta lähtötiedot -välilehden tietoja.</t>
  </si>
  <si>
    <t>Täytä valkopohjaiset solut kustannustietojen osalta viereiseen laatikkoon sekä Toimenpiteen vuosihyödyt Hyödyt -kohtaan. Tällä välilehdellä voi laskea erilaisten toimenpidevaihtoehtojen kustannuksia ja hyötyjä perustuen ensimmäisen välilehden hyöty-vahinkoarvioihin.</t>
  </si>
  <si>
    <r>
      <t xml:space="preserve">Työkalu on tarkoitettu karkeaan toimenpiteiden kustannusten ja hyötyjen vertailuun. Yksinkertainen ja selkeä yhteismitallinen vertailu sopii toimenpiteiden tunnistamiseen ja niiden karkeaan arviointiin. </t>
    </r>
    <r>
      <rPr>
        <b/>
        <u/>
        <sz val="11"/>
        <color theme="0"/>
        <rFont val="Calibri"/>
        <family val="2"/>
        <scheme val="minor"/>
      </rPr>
      <t xml:space="preserve">Tulokset edellyttävät asiantuntija-arviota! Tulokset tulee esittää suuruusluokkina tai pyöristettyinä! </t>
    </r>
    <r>
      <rPr>
        <sz val="11"/>
        <color theme="0"/>
        <rFont val="Calibri"/>
        <family val="2"/>
        <scheme val="minor"/>
      </rPr>
      <t xml:space="preserve">
Ensimmäisellä eli tällä välilehdellä arvioidaan teoreettisia tulvariskien hallinnan hyötyjä alueella. Toisella välilehdellä voidaan halutessaan tarkantaa arvioiden lähtötietoja. Kolmannella välilehdellä voidaan arvioida eri toimenpidevaihtoehtojen kustannuksia hyötyihin nähden.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</si>
</sst>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£&quot;#,##0"/>
    <numFmt numFmtId="165" formatCode="#,##0&quot; €&quot;"/>
    <numFmt numFmtId="166" formatCode="#,##0\ &quot;€&quot;"/>
    <numFmt numFmtId="167" formatCode="0.0"/>
    <numFmt numFmtId="168" formatCode="0.000"/>
    <numFmt numFmtId="169" formatCode="0.0\ 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8"/>
      <color theme="9"/>
      <name val="Calibri Light"/>
      <family val="2"/>
      <scheme val="major"/>
    </font>
    <font>
      <sz val="11"/>
      <color theme="1"/>
      <name val="Segoe UI Symbol"/>
      <family val="2"/>
    </font>
    <font>
      <sz val="11"/>
      <color theme="0" tint="-0.1499984740745262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Segoe UI Symbol"/>
      <family val="2"/>
    </font>
    <font>
      <b/>
      <sz val="14"/>
      <color theme="0"/>
      <name val="Calibri Light"/>
      <family val="2"/>
      <scheme val="major"/>
    </font>
    <font>
      <sz val="18"/>
      <color theme="0"/>
      <name val="Segoe UI Symbol"/>
      <family val="2"/>
    </font>
    <font>
      <sz val="16"/>
      <color theme="0"/>
      <name val="Calibri Light"/>
      <family val="2"/>
      <scheme val="major"/>
    </font>
    <font>
      <sz val="11"/>
      <color rgb="FFE9F2F7"/>
      <name val="Calibri"/>
      <family val="2"/>
      <scheme val="minor"/>
    </font>
    <font>
      <sz val="28"/>
      <color theme="0"/>
      <name val="Calibri Light"/>
      <family val="2"/>
      <scheme val="major"/>
    </font>
    <font>
      <sz val="22"/>
      <color theme="0"/>
      <name val="Calibri Light"/>
      <family val="2"/>
      <scheme val="major"/>
    </font>
    <font>
      <sz val="11"/>
      <color rgb="FF70AD47"/>
      <name val="Calibri"/>
      <family val="2"/>
      <scheme val="minor"/>
    </font>
    <font>
      <sz val="14"/>
      <color theme="0"/>
      <name val="Calibri Light"/>
      <family val="2"/>
      <scheme val="major"/>
    </font>
    <font>
      <b/>
      <sz val="14"/>
      <color theme="0"/>
      <name val="Calibri"/>
      <family val="2"/>
      <scheme val="minor"/>
    </font>
    <font>
      <sz val="28"/>
      <color rgb="FF002060"/>
      <name val="Calibri Light"/>
      <family val="2"/>
      <scheme val="major"/>
    </font>
    <font>
      <sz val="12"/>
      <color rgb="FF002060"/>
      <name val="Calibri Light"/>
      <family val="2"/>
      <scheme val="major"/>
    </font>
    <font>
      <sz val="20"/>
      <color rgb="FF002060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9F2F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 wrapText="1"/>
    </xf>
    <xf numFmtId="9" fontId="2" fillId="2" borderId="0" xfId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 vertical="center" wrapText="1"/>
    </xf>
    <xf numFmtId="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9" fontId="2" fillId="2" borderId="0" xfId="0" applyNumberFormat="1" applyFont="1" applyFill="1" applyAlignment="1">
      <alignment horizontal="center" vertical="center"/>
    </xf>
    <xf numFmtId="9" fontId="1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9" fontId="0" fillId="2" borderId="0" xfId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9" fontId="0" fillId="2" borderId="0" xfId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 wrapText="1"/>
    </xf>
    <xf numFmtId="0" fontId="8" fillId="3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12" fillId="3" borderId="0" xfId="0" applyFont="1" applyFill="1" applyAlignment="1">
      <alignment horizontal="right" vertical="center" wrapText="1"/>
    </xf>
    <xf numFmtId="9" fontId="6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/>
    </xf>
    <xf numFmtId="9" fontId="6" fillId="3" borderId="0" xfId="1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vertical="center"/>
    </xf>
    <xf numFmtId="164" fontId="10" fillId="4" borderId="0" xfId="0" applyNumberFormat="1" applyFont="1" applyFill="1" applyAlignment="1">
      <alignment horizontal="center" vertical="center"/>
    </xf>
    <xf numFmtId="0" fontId="0" fillId="3" borderId="0" xfId="0" applyFill="1"/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164" fontId="0" fillId="3" borderId="0" xfId="0" applyNumberFormat="1" applyFill="1" applyAlignment="1">
      <alignment horizontal="center" vertical="center"/>
    </xf>
    <xf numFmtId="20" fontId="0" fillId="3" borderId="0" xfId="0" applyNumberForma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vertical="center"/>
    </xf>
    <xf numFmtId="0" fontId="17" fillId="5" borderId="0" xfId="0" applyFont="1" applyFill="1"/>
    <xf numFmtId="0" fontId="18" fillId="3" borderId="0" xfId="0" applyFont="1" applyFill="1" applyAlignment="1"/>
    <xf numFmtId="0" fontId="19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 vertical="center"/>
    </xf>
    <xf numFmtId="0" fontId="17" fillId="3" borderId="0" xfId="0" applyFont="1" applyFill="1"/>
    <xf numFmtId="9" fontId="0" fillId="3" borderId="1" xfId="0" applyNumberFormat="1" applyFill="1" applyBorder="1" applyAlignment="1" applyProtection="1">
      <alignment horizontal="center" vertical="center"/>
      <protection locked="0"/>
    </xf>
    <xf numFmtId="9" fontId="0" fillId="3" borderId="2" xfId="1" applyFont="1" applyFill="1" applyBorder="1" applyAlignment="1" applyProtection="1">
      <alignment horizontal="center" vertical="center"/>
      <protection locked="0"/>
    </xf>
    <xf numFmtId="9" fontId="0" fillId="3" borderId="1" xfId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0" xfId="0" applyFill="1" applyAlignment="1"/>
    <xf numFmtId="0" fontId="17" fillId="3" borderId="0" xfId="0" applyFont="1" applyFill="1" applyAlignment="1"/>
    <xf numFmtId="165" fontId="0" fillId="2" borderId="0" xfId="0" applyNumberFormat="1" applyFill="1" applyAlignment="1">
      <alignment horizontal="center" vertical="center"/>
    </xf>
    <xf numFmtId="165" fontId="0" fillId="3" borderId="1" xfId="0" applyNumberForma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right" vertical="center"/>
    </xf>
    <xf numFmtId="165" fontId="0" fillId="2" borderId="0" xfId="0" applyNumberForma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23" fillId="3" borderId="0" xfId="0" applyFont="1" applyFill="1" applyAlignment="1">
      <alignment horizontal="left"/>
    </xf>
    <xf numFmtId="0" fontId="24" fillId="3" borderId="0" xfId="0" applyFont="1" applyFill="1" applyAlignment="1">
      <alignment horizontal="left"/>
    </xf>
    <xf numFmtId="0" fontId="25" fillId="3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center" vertical="center"/>
    </xf>
    <xf numFmtId="0" fontId="0" fillId="6" borderId="0" xfId="0" applyFill="1"/>
    <xf numFmtId="0" fontId="4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right" vertical="center"/>
    </xf>
    <xf numFmtId="165" fontId="4" fillId="6" borderId="0" xfId="0" applyNumberFormat="1" applyFont="1" applyFill="1" applyAlignment="1">
      <alignment horizontal="center" vertical="center"/>
    </xf>
    <xf numFmtId="0" fontId="21" fillId="6" borderId="0" xfId="0" applyFont="1" applyFill="1" applyAlignment="1">
      <alignment horizontal="right" vertical="center"/>
    </xf>
    <xf numFmtId="0" fontId="0" fillId="6" borderId="0" xfId="0" applyFill="1" applyAlignment="1">
      <alignment vertical="center"/>
    </xf>
    <xf numFmtId="165" fontId="22" fillId="6" borderId="0" xfId="0" applyNumberFormat="1" applyFont="1" applyFill="1" applyAlignment="1">
      <alignment horizontal="center" vertical="center"/>
    </xf>
    <xf numFmtId="0" fontId="21" fillId="6" borderId="0" xfId="0" applyFont="1" applyFill="1" applyAlignment="1">
      <alignment vertical="center"/>
    </xf>
    <xf numFmtId="164" fontId="22" fillId="6" borderId="0" xfId="0" applyNumberFormat="1" applyFont="1" applyFill="1" applyAlignment="1">
      <alignment horizontal="center" vertical="center"/>
    </xf>
    <xf numFmtId="0" fontId="5" fillId="6" borderId="0" xfId="0" applyFont="1" applyFill="1"/>
    <xf numFmtId="164" fontId="21" fillId="6" borderId="0" xfId="0" applyNumberFormat="1" applyFont="1" applyFill="1" applyAlignment="1">
      <alignment vertical="center"/>
    </xf>
    <xf numFmtId="0" fontId="17" fillId="6" borderId="0" xfId="0" applyFont="1" applyFill="1"/>
    <xf numFmtId="165" fontId="8" fillId="2" borderId="0" xfId="0" applyNumberFormat="1" applyFont="1" applyFill="1" applyAlignment="1">
      <alignment horizontal="center" vertical="center"/>
    </xf>
    <xf numFmtId="166" fontId="22" fillId="6" borderId="0" xfId="0" applyNumberFormat="1" applyFont="1" applyFill="1" applyAlignment="1">
      <alignment horizontal="right" vertical="center"/>
    </xf>
    <xf numFmtId="9" fontId="0" fillId="3" borderId="0" xfId="1" applyFont="1" applyFill="1" applyBorder="1" applyAlignment="1" applyProtection="1">
      <alignment horizontal="center" vertical="center"/>
      <protection locked="0"/>
    </xf>
    <xf numFmtId="9" fontId="0" fillId="2" borderId="0" xfId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vertical="center"/>
    </xf>
    <xf numFmtId="9" fontId="0" fillId="2" borderId="0" xfId="1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>
      <alignment horizontal="right" vertical="center" wrapText="1"/>
    </xf>
    <xf numFmtId="165" fontId="0" fillId="0" borderId="5" xfId="0" applyNumberFormat="1" applyBorder="1"/>
    <xf numFmtId="0" fontId="0" fillId="0" borderId="5" xfId="0" applyBorder="1"/>
    <xf numFmtId="0" fontId="2" fillId="0" borderId="6" xfId="0" applyFont="1" applyBorder="1" applyAlignment="1">
      <alignment horizontal="center"/>
    </xf>
    <xf numFmtId="0" fontId="0" fillId="0" borderId="7" xfId="0" applyFill="1" applyBorder="1" applyAlignment="1">
      <alignment horizontal="right" vertical="center" wrapText="1"/>
    </xf>
    <xf numFmtId="165" fontId="0" fillId="0" borderId="0" xfId="0" applyNumberFormat="1" applyBorder="1"/>
    <xf numFmtId="0" fontId="0" fillId="0" borderId="0" xfId="0" applyBorder="1"/>
    <xf numFmtId="9" fontId="0" fillId="0" borderId="8" xfId="0" applyNumberFormat="1" applyBorder="1" applyAlignment="1">
      <alignment horizontal="center"/>
    </xf>
    <xf numFmtId="0" fontId="0" fillId="0" borderId="9" xfId="0" applyFill="1" applyBorder="1" applyAlignment="1">
      <alignment horizontal="right" vertical="center" wrapText="1"/>
    </xf>
    <xf numFmtId="165" fontId="0" fillId="0" borderId="10" xfId="0" applyNumberFormat="1" applyBorder="1"/>
    <xf numFmtId="0" fontId="0" fillId="0" borderId="10" xfId="0" applyBorder="1"/>
    <xf numFmtId="9" fontId="0" fillId="0" borderId="11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right"/>
    </xf>
    <xf numFmtId="165" fontId="0" fillId="0" borderId="0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right"/>
    </xf>
    <xf numFmtId="165" fontId="0" fillId="0" borderId="10" xfId="0" applyNumberFormat="1" applyBorder="1" applyAlignment="1">
      <alignment horizontal="center"/>
    </xf>
    <xf numFmtId="0" fontId="0" fillId="0" borderId="10" xfId="0" applyNumberFormat="1" applyBorder="1"/>
    <xf numFmtId="0" fontId="0" fillId="0" borderId="11" xfId="0" applyBorder="1"/>
    <xf numFmtId="165" fontId="0" fillId="2" borderId="0" xfId="0" applyNumberFormat="1" applyFill="1" applyAlignment="1">
      <alignment vertical="center"/>
    </xf>
    <xf numFmtId="165" fontId="0" fillId="3" borderId="0" xfId="0" applyNumberFormat="1" applyFill="1" applyAlignment="1">
      <alignment vertical="center"/>
    </xf>
    <xf numFmtId="165" fontId="6" fillId="3" borderId="0" xfId="0" applyNumberFormat="1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9" fontId="0" fillId="3" borderId="0" xfId="1" applyFont="1" applyFill="1" applyBorder="1" applyAlignment="1">
      <alignment horizontal="center" vertical="center"/>
    </xf>
    <xf numFmtId="9" fontId="2" fillId="3" borderId="0" xfId="1" applyFon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26" fillId="3" borderId="0" xfId="0" applyFont="1" applyFill="1" applyAlignment="1">
      <alignment horizontal="left"/>
    </xf>
    <xf numFmtId="0" fontId="15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0" fillId="3" borderId="1" xfId="0" applyNumberFormat="1" applyFill="1" applyBorder="1" applyAlignment="1" applyProtection="1">
      <alignment horizontal="center" vertical="center"/>
      <protection locked="0"/>
    </xf>
    <xf numFmtId="167" fontId="0" fillId="3" borderId="2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/>
    <xf numFmtId="0" fontId="27" fillId="0" borderId="7" xfId="0" applyFont="1" applyBorder="1"/>
    <xf numFmtId="0" fontId="27" fillId="0" borderId="0" xfId="0" applyFont="1" applyBorder="1"/>
    <xf numFmtId="0" fontId="27" fillId="0" borderId="8" xfId="0" applyFont="1" applyBorder="1"/>
    <xf numFmtId="9" fontId="27" fillId="0" borderId="8" xfId="0" applyNumberFormat="1" applyFont="1" applyBorder="1"/>
    <xf numFmtId="0" fontId="28" fillId="0" borderId="7" xfId="0" applyFont="1" applyBorder="1"/>
    <xf numFmtId="0" fontId="3" fillId="2" borderId="0" xfId="0" applyFont="1" applyFill="1" applyAlignment="1">
      <alignment horizontal="right" vertical="top" wrapText="1"/>
    </xf>
    <xf numFmtId="168" fontId="0" fillId="2" borderId="0" xfId="0" applyNumberFormat="1" applyFill="1" applyAlignment="1">
      <alignment vertical="center"/>
    </xf>
    <xf numFmtId="0" fontId="5" fillId="2" borderId="0" xfId="0" applyFont="1" applyFill="1" applyAlignment="1">
      <alignment horizontal="left" vertical="top" wrapText="1"/>
    </xf>
    <xf numFmtId="165" fontId="0" fillId="2" borderId="0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/>
    <xf numFmtId="0" fontId="5" fillId="2" borderId="0" xfId="0" applyFont="1" applyFill="1" applyAlignment="1">
      <alignment horizontal="left" wrapText="1"/>
    </xf>
    <xf numFmtId="0" fontId="29" fillId="0" borderId="0" xfId="0" applyFont="1" applyFill="1" applyBorder="1" applyAlignment="1">
      <alignment horizontal="center"/>
    </xf>
    <xf numFmtId="2" fontId="2" fillId="7" borderId="13" xfId="0" applyNumberFormat="1" applyFont="1" applyFill="1" applyBorder="1" applyAlignment="1">
      <alignment horizontal="left" indent="1"/>
    </xf>
    <xf numFmtId="2" fontId="2" fillId="7" borderId="14" xfId="0" applyNumberFormat="1" applyFont="1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9" fillId="0" borderId="12" xfId="0" applyFont="1" applyFill="1" applyBorder="1" applyAlignment="1">
      <alignment horizontal="center"/>
    </xf>
    <xf numFmtId="0" fontId="2" fillId="0" borderId="0" xfId="0" applyFont="1" applyBorder="1"/>
    <xf numFmtId="0" fontId="2" fillId="0" borderId="12" xfId="0" applyFont="1" applyBorder="1"/>
    <xf numFmtId="0" fontId="0" fillId="0" borderId="12" xfId="0" applyBorder="1"/>
    <xf numFmtId="0" fontId="0" fillId="0" borderId="19" xfId="0" applyBorder="1"/>
    <xf numFmtId="0" fontId="0" fillId="0" borderId="3" xfId="0" applyBorder="1"/>
    <xf numFmtId="2" fontId="2" fillId="7" borderId="1" xfId="0" applyNumberFormat="1" applyFont="1" applyFill="1" applyBorder="1" applyAlignment="1">
      <alignment horizontal="left" indent="1"/>
    </xf>
    <xf numFmtId="2" fontId="2" fillId="7" borderId="20" xfId="0" applyNumberFormat="1" applyFont="1" applyFill="1" applyBorder="1"/>
    <xf numFmtId="0" fontId="2" fillId="0" borderId="3" xfId="0" applyFont="1" applyBorder="1"/>
    <xf numFmtId="0" fontId="2" fillId="0" borderId="21" xfId="0" applyFont="1" applyBorder="1"/>
    <xf numFmtId="0" fontId="0" fillId="2" borderId="0" xfId="0" applyFont="1" applyFill="1" applyAlignment="1">
      <alignment horizontal="center"/>
    </xf>
    <xf numFmtId="0" fontId="2" fillId="2" borderId="0" xfId="0" applyFont="1" applyFill="1"/>
    <xf numFmtId="2" fontId="0" fillId="0" borderId="0" xfId="0" applyNumberFormat="1"/>
    <xf numFmtId="0" fontId="11" fillId="0" borderId="0" xfId="0" applyFont="1"/>
    <xf numFmtId="165" fontId="0" fillId="3" borderId="2" xfId="0" applyNumberForma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3" fontId="0" fillId="2" borderId="0" xfId="0" applyNumberFormat="1" applyFill="1" applyBorder="1" applyAlignment="1" applyProtection="1">
      <alignment horizontal="center" vertical="center"/>
      <protection locked="0"/>
    </xf>
    <xf numFmtId="3" fontId="30" fillId="3" borderId="1" xfId="0" applyNumberFormat="1" applyFont="1" applyFill="1" applyBorder="1" applyAlignment="1" applyProtection="1">
      <alignment horizontal="center" vertical="center" shrinkToFit="1"/>
      <protection locked="0"/>
    </xf>
    <xf numFmtId="3" fontId="0" fillId="3" borderId="1" xfId="0" applyNumberFormat="1" applyFill="1" applyBorder="1" applyAlignment="1" applyProtection="1">
      <alignment horizontal="center" vertical="center" shrinkToFit="1"/>
      <protection locked="0"/>
    </xf>
    <xf numFmtId="0" fontId="5" fillId="6" borderId="0" xfId="0" applyFont="1" applyFill="1" applyAlignment="1">
      <alignment horizontal="left" vertical="top" wrapText="1"/>
    </xf>
    <xf numFmtId="0" fontId="16" fillId="6" borderId="0" xfId="0" applyFont="1" applyFill="1" applyAlignment="1">
      <alignment horizontal="left" vertical="center"/>
    </xf>
    <xf numFmtId="0" fontId="0" fillId="6" borderId="0" xfId="0" applyFill="1" applyAlignment="1">
      <alignment horizontal="left" vertical="top" wrapText="1"/>
    </xf>
    <xf numFmtId="0" fontId="0" fillId="6" borderId="0" xfId="0" applyFill="1" applyAlignment="1"/>
    <xf numFmtId="0" fontId="2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165" fontId="2" fillId="2" borderId="0" xfId="0" applyNumberFormat="1" applyFont="1" applyFill="1" applyBorder="1" applyAlignment="1" applyProtection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169" fontId="2" fillId="2" borderId="0" xfId="0" applyNumberFormat="1" applyFont="1" applyFill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0" borderId="0" xfId="0" applyAlignment="1"/>
    <xf numFmtId="0" fontId="2" fillId="2" borderId="0" xfId="0" applyFont="1" applyFill="1" applyAlignment="1">
      <alignment horizontal="right" vertical="center" wrapText="1"/>
    </xf>
    <xf numFmtId="0" fontId="0" fillId="0" borderId="12" xfId="0" applyBorder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0" fillId="3" borderId="0" xfId="0" applyFill="1" applyAlignment="1"/>
  </cellXfs>
  <cellStyles count="2">
    <cellStyle name="Normaali" xfId="0" builtinId="0"/>
    <cellStyle name="Prosenttia" xfId="1" builtinId="5"/>
  </cellStyles>
  <dxfs count="0"/>
  <tableStyles count="0" defaultTableStyle="TableStyleMedium2" defaultPivotStyle="PivotStyleLight16"/>
  <colors>
    <mruColors>
      <color rgb="FF70AD4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Sheet4!$G$1</c:f>
              <c:strCache>
                <c:ptCount val="1"/>
                <c:pt idx="0">
                  <c:v>Vahingot toimenpiteen toteutuksen jälkeen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Sheet4!$E$5:$E$8</c:f>
              <c:strCache>
                <c:ptCount val="4"/>
                <c:pt idx="0">
                  <c:v>Tilapäinen tulvasuojelu</c:v>
                </c:pt>
                <c:pt idx="1">
                  <c:v>Valmiustoimet</c:v>
                </c:pt>
                <c:pt idx="2">
                  <c:v>Toiminta tulvatilanteessa</c:v>
                </c:pt>
                <c:pt idx="3">
                  <c:v>Kiinteät rakenteet</c:v>
                </c:pt>
              </c:strCache>
            </c:strRef>
          </c:cat>
          <c:val>
            <c:numRef>
              <c:f>Sheet4!$G$5:$G$8</c:f>
              <c:numCache>
                <c:formatCode>#,##0" €"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Sheet4!$H$1</c:f>
              <c:strCache>
                <c:ptCount val="1"/>
                <c:pt idx="0">
                  <c:v>Vältetyt vahingot</c:v>
                </c:pt>
              </c:strCache>
            </c:strRef>
          </c:tx>
          <c:invertIfNegative val="0"/>
          <c:cat>
            <c:strRef>
              <c:f>Sheet4!$E$5:$E$8</c:f>
              <c:strCache>
                <c:ptCount val="4"/>
                <c:pt idx="0">
                  <c:v>Tilapäinen tulvasuojelu</c:v>
                </c:pt>
                <c:pt idx="1">
                  <c:v>Valmiustoimet</c:v>
                </c:pt>
                <c:pt idx="2">
                  <c:v>Toiminta tulvatilanteessa</c:v>
                </c:pt>
                <c:pt idx="3">
                  <c:v>Kiinteät rakenteet</c:v>
                </c:pt>
              </c:strCache>
            </c:strRef>
          </c:cat>
          <c:val>
            <c:numRef>
              <c:f>Sheet4!$H$5:$H$8</c:f>
              <c:numCache>
                <c:formatCode>#,##0" €"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Sheet4!$I$1</c:f>
              <c:strCache>
                <c:ptCount val="1"/>
                <c:pt idx="0">
                  <c:v>Muilla toimenpiteillä vältetyt vahingot</c:v>
                </c:pt>
              </c:strCache>
            </c:strRef>
          </c:tx>
          <c:invertIfNegative val="0"/>
          <c:cat>
            <c:strRef>
              <c:f>Sheet4!$E$5:$E$8</c:f>
              <c:strCache>
                <c:ptCount val="4"/>
                <c:pt idx="0">
                  <c:v>Tilapäinen tulvasuojelu</c:v>
                </c:pt>
                <c:pt idx="1">
                  <c:v>Valmiustoimet</c:v>
                </c:pt>
                <c:pt idx="2">
                  <c:v>Toiminta tulvatilanteessa</c:v>
                </c:pt>
                <c:pt idx="3">
                  <c:v>Kiinteät rakenteet</c:v>
                </c:pt>
              </c:strCache>
            </c:strRef>
          </c:cat>
          <c:val>
            <c:numRef>
              <c:f>Sheet4!$I$5:$I$8</c:f>
              <c:numCache>
                <c:formatCode>#,##0" €"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272960"/>
        <c:axId val="143295232"/>
      </c:barChart>
      <c:catAx>
        <c:axId val="1432729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3295232"/>
        <c:crosses val="autoZero"/>
        <c:auto val="1"/>
        <c:lblAlgn val="ctr"/>
        <c:lblOffset val="100"/>
        <c:noMultiLvlLbl val="0"/>
      </c:catAx>
      <c:valAx>
        <c:axId val="143295232"/>
        <c:scaling>
          <c:orientation val="minMax"/>
        </c:scaling>
        <c:delete val="0"/>
        <c:axPos val="b"/>
        <c:majorGridlines/>
        <c:numFmt formatCode="#,##0&quot; €&quot;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fi-FI"/>
          </a:p>
        </c:txPr>
        <c:crossAx val="143272960"/>
        <c:crosses val="autoZero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fi-FI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Sheet4!$G$1</c:f>
              <c:strCache>
                <c:ptCount val="1"/>
                <c:pt idx="0">
                  <c:v>Vahingot toimenpiteen toteutuksen jälkeen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Sheet4!$E$2:$E$4</c:f>
              <c:strCache>
                <c:ptCount val="3"/>
                <c:pt idx="0">
                  <c:v>Siirretty omaisuus</c:v>
                </c:pt>
                <c:pt idx="1">
                  <c:v>Tulvansietokyvyn parantaminen</c:v>
                </c:pt>
                <c:pt idx="2">
                  <c:v>Tulvariskin vähentäminen</c:v>
                </c:pt>
              </c:strCache>
            </c:strRef>
          </c:cat>
          <c:val>
            <c:numRef>
              <c:f>Sheet4!$G$2:$G$4</c:f>
              <c:numCache>
                <c:formatCode>#,##0" €"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Sheet4!$H$1</c:f>
              <c:strCache>
                <c:ptCount val="1"/>
                <c:pt idx="0">
                  <c:v>Vältetyt vahingot</c:v>
                </c:pt>
              </c:strCache>
            </c:strRef>
          </c:tx>
          <c:invertIfNegative val="0"/>
          <c:cat>
            <c:strRef>
              <c:f>Sheet4!$E$2:$E$4</c:f>
              <c:strCache>
                <c:ptCount val="3"/>
                <c:pt idx="0">
                  <c:v>Siirretty omaisuus</c:v>
                </c:pt>
                <c:pt idx="1">
                  <c:v>Tulvansietokyvyn parantaminen</c:v>
                </c:pt>
                <c:pt idx="2">
                  <c:v>Tulvariskin vähentäminen</c:v>
                </c:pt>
              </c:strCache>
            </c:strRef>
          </c:cat>
          <c:val>
            <c:numRef>
              <c:f>Sheet4!$H$2:$H$4</c:f>
              <c:numCache>
                <c:formatCode>#,##0" €"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Sheet4!$J$1</c:f>
              <c:strCache>
                <c:ptCount val="1"/>
                <c:pt idx="0">
                  <c:v>Muilla toimenpiteillä vältetyt vahingot</c:v>
                </c:pt>
              </c:strCache>
            </c:strRef>
          </c:tx>
          <c:invertIfNegative val="0"/>
          <c:cat>
            <c:strRef>
              <c:f>Sheet4!$E$2:$E$4</c:f>
              <c:strCache>
                <c:ptCount val="3"/>
                <c:pt idx="0">
                  <c:v>Siirretty omaisuus</c:v>
                </c:pt>
                <c:pt idx="1">
                  <c:v>Tulvansietokyvyn parantaminen</c:v>
                </c:pt>
                <c:pt idx="2">
                  <c:v>Tulvariskin vähentäminen</c:v>
                </c:pt>
              </c:strCache>
            </c:strRef>
          </c:cat>
          <c:val>
            <c:numRef>
              <c:f>Sheet4!$J$2:$J$4</c:f>
              <c:numCache>
                <c:formatCode>#,##0" €"</c:formatCode>
                <c:ptCount val="3"/>
                <c:pt idx="0">
                  <c:v>0</c:v>
                </c:pt>
                <c:pt idx="1">
                  <c:v>0</c:v>
                </c:pt>
                <c:pt idx="2" formatCode="General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320960"/>
        <c:axId val="143322496"/>
      </c:barChart>
      <c:catAx>
        <c:axId val="1433209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3322496"/>
        <c:crosses val="autoZero"/>
        <c:auto val="1"/>
        <c:lblAlgn val="ctr"/>
        <c:lblOffset val="100"/>
        <c:noMultiLvlLbl val="0"/>
      </c:catAx>
      <c:valAx>
        <c:axId val="143322496"/>
        <c:scaling>
          <c:orientation val="minMax"/>
          <c:min val="0"/>
        </c:scaling>
        <c:delete val="0"/>
        <c:axPos val="b"/>
        <c:majorGridlines/>
        <c:numFmt formatCode="#,##0&quot; €&quot;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fi-FI"/>
          </a:p>
        </c:txPr>
        <c:crossAx val="143320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518070900052222E-2"/>
          <c:y val="0.83700219140236964"/>
          <c:w val="0.88245511946665589"/>
          <c:h val="0.1223886499000226"/>
        </c:manualLayout>
      </c:layout>
      <c:overlay val="0"/>
      <c:txPr>
        <a:bodyPr rot="0" vert="horz"/>
        <a:lstStyle/>
        <a:p>
          <a:pPr>
            <a:defRPr sz="1000"/>
          </a:pPr>
          <a:endParaRPr lang="fi-FI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Sheet4!$G$1</c:f>
              <c:strCache>
                <c:ptCount val="1"/>
                <c:pt idx="0">
                  <c:v>Vahingot toimenpiteen toteutuksen jälkeen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Sheet4!$E$2:$E$4</c:f>
              <c:strCache>
                <c:ptCount val="3"/>
                <c:pt idx="0">
                  <c:v>Siirretty omaisuus</c:v>
                </c:pt>
                <c:pt idx="1">
                  <c:v>Tulvansietokyvyn parantaminen</c:v>
                </c:pt>
                <c:pt idx="2">
                  <c:v>Tulvariskin vähentäminen</c:v>
                </c:pt>
              </c:strCache>
            </c:strRef>
          </c:cat>
          <c:val>
            <c:numRef>
              <c:f>Sheet4!$G$2:$G$4</c:f>
              <c:numCache>
                <c:formatCode>#,##0" €"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Sheet4!$H$1</c:f>
              <c:strCache>
                <c:ptCount val="1"/>
                <c:pt idx="0">
                  <c:v>Vältetyt vahingot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Sheet4!$E$2:$E$4</c:f>
              <c:strCache>
                <c:ptCount val="3"/>
                <c:pt idx="0">
                  <c:v>Siirretty omaisuus</c:v>
                </c:pt>
                <c:pt idx="1">
                  <c:v>Tulvansietokyvyn parantaminen</c:v>
                </c:pt>
                <c:pt idx="2">
                  <c:v>Tulvariskin vähentäminen</c:v>
                </c:pt>
              </c:strCache>
            </c:strRef>
          </c:cat>
          <c:val>
            <c:numRef>
              <c:f>Sheet4!$H$2:$H$4</c:f>
              <c:numCache>
                <c:formatCode>#,##0" €"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Sheet4!$J$1</c:f>
              <c:strCache>
                <c:ptCount val="1"/>
                <c:pt idx="0">
                  <c:v>Muilla toimenpiteillä vältetyt vahingot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Sheet4!$E$2:$E$4</c:f>
              <c:strCache>
                <c:ptCount val="3"/>
                <c:pt idx="0">
                  <c:v>Siirretty omaisuus</c:v>
                </c:pt>
                <c:pt idx="1">
                  <c:v>Tulvansietokyvyn parantaminen</c:v>
                </c:pt>
                <c:pt idx="2">
                  <c:v>Tulvariskin vähentäminen</c:v>
                </c:pt>
              </c:strCache>
            </c:strRef>
          </c:cat>
          <c:val>
            <c:numRef>
              <c:f>Sheet4!$J$2:$J$4</c:f>
              <c:numCache>
                <c:formatCode>#,##0" €"</c:formatCode>
                <c:ptCount val="3"/>
                <c:pt idx="0">
                  <c:v>0</c:v>
                </c:pt>
                <c:pt idx="1">
                  <c:v>0</c:v>
                </c:pt>
                <c:pt idx="2" formatCode="General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822272"/>
        <c:axId val="144823808"/>
      </c:barChart>
      <c:catAx>
        <c:axId val="144822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4823808"/>
        <c:crosses val="autoZero"/>
        <c:auto val="1"/>
        <c:lblAlgn val="ctr"/>
        <c:lblOffset val="100"/>
        <c:noMultiLvlLbl val="0"/>
      </c:catAx>
      <c:valAx>
        <c:axId val="144823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 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482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Sheet4!$G$1</c:f>
              <c:strCache>
                <c:ptCount val="1"/>
                <c:pt idx="0">
                  <c:v>Vahingot toimenpiteen toteutuksen jälkeen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Sheet4!$E$2:$E$8</c:f>
              <c:strCache>
                <c:ptCount val="7"/>
                <c:pt idx="0">
                  <c:v>Siirretty omaisuus</c:v>
                </c:pt>
                <c:pt idx="1">
                  <c:v>Tulvansietokyvyn parantaminen</c:v>
                </c:pt>
                <c:pt idx="2">
                  <c:v>Tulvariskin vähentäminen</c:v>
                </c:pt>
                <c:pt idx="3">
                  <c:v>Tilapäinen tulvasuojelu</c:v>
                </c:pt>
                <c:pt idx="4">
                  <c:v>Valmiustoimet</c:v>
                </c:pt>
                <c:pt idx="5">
                  <c:v>Toiminta tulvatilanteessa</c:v>
                </c:pt>
                <c:pt idx="6">
                  <c:v>Kiinteät rakenteet</c:v>
                </c:pt>
              </c:strCache>
            </c:strRef>
          </c:cat>
          <c:val>
            <c:numRef>
              <c:f>Sheet4!$G$2:$G$8</c:f>
              <c:numCache>
                <c:formatCode>#,##0" €"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Sheet4!$H$1</c:f>
              <c:strCache>
                <c:ptCount val="1"/>
                <c:pt idx="0">
                  <c:v>Vältetyt vahingot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Sheet4!$E$2:$E$8</c:f>
              <c:strCache>
                <c:ptCount val="7"/>
                <c:pt idx="0">
                  <c:v>Siirretty omaisuus</c:v>
                </c:pt>
                <c:pt idx="1">
                  <c:v>Tulvansietokyvyn parantaminen</c:v>
                </c:pt>
                <c:pt idx="2">
                  <c:v>Tulvariskin vähentäminen</c:v>
                </c:pt>
                <c:pt idx="3">
                  <c:v>Tilapäinen tulvasuojelu</c:v>
                </c:pt>
                <c:pt idx="4">
                  <c:v>Valmiustoimet</c:v>
                </c:pt>
                <c:pt idx="5">
                  <c:v>Toiminta tulvatilanteessa</c:v>
                </c:pt>
                <c:pt idx="6">
                  <c:v>Kiinteät rakenteet</c:v>
                </c:pt>
              </c:strCache>
            </c:strRef>
          </c:cat>
          <c:val>
            <c:numRef>
              <c:f>Sheet4!$H$2:$H$8</c:f>
              <c:numCache>
                <c:formatCode>#,##0" €"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Sheet4!$I$1</c:f>
              <c:strCache>
                <c:ptCount val="1"/>
                <c:pt idx="0">
                  <c:v>Muilla toimenpiteillä vältetyt vahingot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Sheet4!$E$2:$E$8</c:f>
              <c:strCache>
                <c:ptCount val="7"/>
                <c:pt idx="0">
                  <c:v>Siirretty omaisuus</c:v>
                </c:pt>
                <c:pt idx="1">
                  <c:v>Tulvansietokyvyn parantaminen</c:v>
                </c:pt>
                <c:pt idx="2">
                  <c:v>Tulvariskin vähentäminen</c:v>
                </c:pt>
                <c:pt idx="3">
                  <c:v>Tilapäinen tulvasuojelu</c:v>
                </c:pt>
                <c:pt idx="4">
                  <c:v>Valmiustoimet</c:v>
                </c:pt>
                <c:pt idx="5">
                  <c:v>Toiminta tulvatilanteessa</c:v>
                </c:pt>
                <c:pt idx="6">
                  <c:v>Kiinteät rakenteet</c:v>
                </c:pt>
              </c:strCache>
            </c:strRef>
          </c:cat>
          <c:val>
            <c:numRef>
              <c:f>Sheet4!$I$2:$I$8</c:f>
              <c:numCache>
                <c:formatCode>#,##0" €"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076608"/>
        <c:axId val="145078144"/>
      </c:barChart>
      <c:catAx>
        <c:axId val="145076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5078144"/>
        <c:crosses val="autoZero"/>
        <c:auto val="1"/>
        <c:lblAlgn val="ctr"/>
        <c:lblOffset val="100"/>
        <c:noMultiLvlLbl val="0"/>
      </c:catAx>
      <c:valAx>
        <c:axId val="145078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 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507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Sheet4!$G$1</c:f>
              <c:strCache>
                <c:ptCount val="1"/>
                <c:pt idx="0">
                  <c:v>Vahingot toimenpiteen toteutuksen jälkeen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Sheet4!$E$5:$E$8</c:f>
              <c:strCache>
                <c:ptCount val="4"/>
                <c:pt idx="0">
                  <c:v>Tilapäinen tulvasuojelu</c:v>
                </c:pt>
                <c:pt idx="1">
                  <c:v>Valmiustoimet</c:v>
                </c:pt>
                <c:pt idx="2">
                  <c:v>Toiminta tulvatilanteessa</c:v>
                </c:pt>
                <c:pt idx="3">
                  <c:v>Kiinteät rakenteet</c:v>
                </c:pt>
              </c:strCache>
            </c:strRef>
          </c:cat>
          <c:val>
            <c:numRef>
              <c:f>Sheet4!$G$5:$G$8</c:f>
              <c:numCache>
                <c:formatCode>#,##0" €"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Sheet4!$H$1</c:f>
              <c:strCache>
                <c:ptCount val="1"/>
                <c:pt idx="0">
                  <c:v>Vältetyt vahingot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Sheet4!$E$5:$E$8</c:f>
              <c:strCache>
                <c:ptCount val="4"/>
                <c:pt idx="0">
                  <c:v>Tilapäinen tulvasuojelu</c:v>
                </c:pt>
                <c:pt idx="1">
                  <c:v>Valmiustoimet</c:v>
                </c:pt>
                <c:pt idx="2">
                  <c:v>Toiminta tulvatilanteessa</c:v>
                </c:pt>
                <c:pt idx="3">
                  <c:v>Kiinteät rakenteet</c:v>
                </c:pt>
              </c:strCache>
            </c:strRef>
          </c:cat>
          <c:val>
            <c:numRef>
              <c:f>Sheet4!$H$5:$H$8</c:f>
              <c:numCache>
                <c:formatCode>#,##0" €"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Sheet4!$I$1</c:f>
              <c:strCache>
                <c:ptCount val="1"/>
                <c:pt idx="0">
                  <c:v>Muilla toimenpiteillä vältetyt vahingot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Sheet4!$E$5:$E$8</c:f>
              <c:strCache>
                <c:ptCount val="4"/>
                <c:pt idx="0">
                  <c:v>Tilapäinen tulvasuojelu</c:v>
                </c:pt>
                <c:pt idx="1">
                  <c:v>Valmiustoimet</c:v>
                </c:pt>
                <c:pt idx="2">
                  <c:v>Toiminta tulvatilanteessa</c:v>
                </c:pt>
                <c:pt idx="3">
                  <c:v>Kiinteät rakenteet</c:v>
                </c:pt>
              </c:strCache>
            </c:strRef>
          </c:cat>
          <c:val>
            <c:numRef>
              <c:f>Sheet4!$I$5:$I$8</c:f>
              <c:numCache>
                <c:formatCode>#,##0" €"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915840"/>
        <c:axId val="144929920"/>
      </c:barChart>
      <c:catAx>
        <c:axId val="144915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4929920"/>
        <c:crosses val="autoZero"/>
        <c:auto val="1"/>
        <c:lblAlgn val="ctr"/>
        <c:lblOffset val="100"/>
        <c:noMultiLvlLbl val="0"/>
      </c:catAx>
      <c:valAx>
        <c:axId val="144929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 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491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22</xdr:row>
      <xdr:rowOff>161926</xdr:rowOff>
    </xdr:from>
    <xdr:to>
      <xdr:col>14</xdr:col>
      <xdr:colOff>1390650</xdr:colOff>
      <xdr:row>34</xdr:row>
      <xdr:rowOff>133126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</xdr:colOff>
      <xdr:row>42</xdr:row>
      <xdr:rowOff>161926</xdr:rowOff>
    </xdr:from>
    <xdr:to>
      <xdr:col>14</xdr:col>
      <xdr:colOff>1381125</xdr:colOff>
      <xdr:row>52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13</xdr:row>
      <xdr:rowOff>142875</xdr:rowOff>
    </xdr:from>
    <xdr:to>
      <xdr:col>11</xdr:col>
      <xdr:colOff>114300</xdr:colOff>
      <xdr:row>28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29</xdr:row>
      <xdr:rowOff>57150</xdr:rowOff>
    </xdr:from>
    <xdr:to>
      <xdr:col>11</xdr:col>
      <xdr:colOff>114300</xdr:colOff>
      <xdr:row>43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276225</xdr:colOff>
      <xdr:row>44</xdr:row>
      <xdr:rowOff>0</xdr:rowOff>
    </xdr:from>
    <xdr:to>
      <xdr:col>11</xdr:col>
      <xdr:colOff>85725</xdr:colOff>
      <xdr:row>58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>
    <tabColor theme="5"/>
  </sheetPr>
  <dimension ref="A1:U59"/>
  <sheetViews>
    <sheetView tabSelected="1" zoomScaleNormal="100" workbookViewId="0">
      <selection activeCell="N3" sqref="N3"/>
    </sheetView>
  </sheetViews>
  <sheetFormatPr defaultColWidth="0" defaultRowHeight="15" zeroHeight="1" x14ac:dyDescent="0.25"/>
  <cols>
    <col min="1" max="1" width="4.85546875" style="47" customWidth="1"/>
    <col min="2" max="2" width="32" style="47" customWidth="1"/>
    <col min="3" max="3" width="4.7109375" style="47" customWidth="1"/>
    <col min="4" max="4" width="14.7109375" style="47" customWidth="1"/>
    <col min="5" max="5" width="4.7109375" style="47" customWidth="1"/>
    <col min="6" max="6" width="18.5703125" style="47" customWidth="1"/>
    <col min="7" max="7" width="4.7109375" style="47" customWidth="1"/>
    <col min="8" max="8" width="14.7109375" style="47" customWidth="1"/>
    <col min="9" max="9" width="4.7109375" style="47" customWidth="1"/>
    <col min="10" max="11" width="3.7109375" style="47" customWidth="1"/>
    <col min="12" max="14" width="14.7109375" style="47" customWidth="1"/>
    <col min="15" max="15" width="21.85546875" style="47" customWidth="1"/>
    <col min="16" max="16" width="4.85546875" style="47" customWidth="1"/>
    <col min="17" max="21" width="14.7109375" style="47" hidden="1" customWidth="1"/>
    <col min="22" max="16384" width="9.140625" style="47" hidden="1"/>
  </cols>
  <sheetData>
    <row r="1" spans="1:21" customFormat="1" ht="15" customHeight="1" x14ac:dyDescent="0.25">
      <c r="A1" s="47"/>
      <c r="B1" s="4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8"/>
      <c r="U1" s="56"/>
    </row>
    <row r="2" spans="1:21" customFormat="1" ht="36" x14ac:dyDescent="0.55000000000000004">
      <c r="A2" s="47"/>
      <c r="B2" s="75" t="s">
        <v>7</v>
      </c>
      <c r="C2" s="66"/>
      <c r="D2" s="66"/>
      <c r="E2" s="66"/>
      <c r="F2" s="66"/>
      <c r="G2" s="66"/>
      <c r="H2" s="66"/>
      <c r="I2" s="66"/>
      <c r="J2" s="66"/>
      <c r="K2" s="57"/>
      <c r="L2" s="57"/>
      <c r="M2" s="57"/>
      <c r="N2" s="57"/>
      <c r="O2" s="58"/>
      <c r="P2" s="57"/>
      <c r="Q2" s="59"/>
      <c r="R2" s="59"/>
      <c r="S2" s="67"/>
      <c r="T2" s="68"/>
      <c r="U2" s="56"/>
    </row>
    <row r="3" spans="1:21" customFormat="1" ht="26.25" customHeight="1" x14ac:dyDescent="0.25">
      <c r="A3" s="47"/>
      <c r="B3" s="130" t="s">
        <v>83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8"/>
      <c r="U3" s="56"/>
    </row>
    <row r="4" spans="1:21" customFormat="1" ht="15" customHeight="1" x14ac:dyDescent="0.25">
      <c r="A4" s="47"/>
      <c r="B4" s="76" t="s">
        <v>82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60"/>
      <c r="U4" s="56"/>
    </row>
    <row r="5" spans="1:21" s="79" customFormat="1" ht="6.95" customHeight="1" x14ac:dyDescent="0.25">
      <c r="U5" s="92"/>
    </row>
    <row r="6" spans="1:21" ht="15" customHeight="1" x14ac:dyDescent="0.25"/>
    <row r="7" spans="1:21" ht="26.25" x14ac:dyDescent="0.25">
      <c r="B7" s="77" t="s">
        <v>110</v>
      </c>
      <c r="C7" s="7"/>
      <c r="D7" s="8"/>
      <c r="E7" s="7"/>
      <c r="F7" s="8"/>
      <c r="G7" s="7"/>
      <c r="H7" s="8"/>
      <c r="I7" s="7"/>
      <c r="K7" s="78" t="s">
        <v>6</v>
      </c>
      <c r="L7" s="177" t="s">
        <v>12</v>
      </c>
      <c r="M7" s="177"/>
      <c r="N7" s="179"/>
      <c r="O7" s="179"/>
    </row>
    <row r="8" spans="1:21" ht="32.25" customHeight="1" x14ac:dyDescent="0.25">
      <c r="B8" s="34"/>
      <c r="C8" s="35"/>
      <c r="D8" s="33"/>
      <c r="E8" s="35"/>
      <c r="F8" s="33"/>
      <c r="G8" s="35"/>
      <c r="H8" s="33"/>
      <c r="I8" s="35"/>
      <c r="K8" s="176" t="s">
        <v>169</v>
      </c>
      <c r="L8" s="178"/>
      <c r="M8" s="178"/>
      <c r="N8" s="178"/>
      <c r="O8" s="178"/>
    </row>
    <row r="9" spans="1:21" ht="15" customHeight="1" thickBot="1" x14ac:dyDescent="0.3">
      <c r="B9" s="171"/>
      <c r="C9" s="172"/>
      <c r="D9" s="166" t="s">
        <v>161</v>
      </c>
      <c r="E9" s="2"/>
      <c r="F9" s="166" t="s">
        <v>162</v>
      </c>
      <c r="G9" s="48"/>
      <c r="H9" s="167" t="s">
        <v>166</v>
      </c>
      <c r="I9" s="172"/>
      <c r="K9" s="176"/>
      <c r="L9" s="178"/>
      <c r="M9" s="178"/>
      <c r="N9" s="178"/>
      <c r="O9" s="178"/>
    </row>
    <row r="10" spans="1:21" ht="15" customHeight="1" thickBot="1" x14ac:dyDescent="0.3">
      <c r="B10" s="171"/>
      <c r="C10" s="173"/>
      <c r="D10" s="175"/>
      <c r="E10" s="2"/>
      <c r="F10" s="135" t="s">
        <v>158</v>
      </c>
      <c r="G10" s="48"/>
      <c r="H10" s="146" t="str">
        <f>IF(D10="","",IF(VLOOKUP(D10,Sheet4!AC5:AK30,HLOOKUP(F10,Sheet4!AD2:AK4,3,FALSE),FALSE)&gt;0,ROUND(VLOOKUP(D10,Sheet4!AC5:AK30,HLOOKUP(F10,Sheet4!AD2:AK4,3,FALSE),FALSE)*1000000,-4),0))</f>
        <v/>
      </c>
      <c r="I10" s="172"/>
      <c r="K10" s="176"/>
      <c r="L10" s="178"/>
      <c r="M10" s="178"/>
      <c r="N10" s="178"/>
      <c r="O10" s="178"/>
    </row>
    <row r="11" spans="1:21" ht="15" customHeight="1" x14ac:dyDescent="0.25">
      <c r="B11" s="28"/>
      <c r="C11" s="22"/>
      <c r="D11" s="29"/>
      <c r="E11" s="22"/>
      <c r="F11" s="29"/>
      <c r="G11" s="22"/>
      <c r="H11" s="29"/>
      <c r="I11" s="22"/>
      <c r="K11" s="178"/>
      <c r="L11" s="178"/>
      <c r="M11" s="178"/>
      <c r="N11" s="178"/>
      <c r="O11" s="178"/>
    </row>
    <row r="12" spans="1:21" ht="15" customHeight="1" x14ac:dyDescent="0.25">
      <c r="B12" s="4"/>
      <c r="C12" s="2"/>
      <c r="D12" s="10" t="s">
        <v>71</v>
      </c>
      <c r="E12" s="10"/>
      <c r="F12" s="180" t="s">
        <v>72</v>
      </c>
      <c r="G12" s="10"/>
      <c r="H12" s="10" t="s">
        <v>13</v>
      </c>
      <c r="I12" s="2"/>
      <c r="K12" s="178"/>
      <c r="L12" s="178"/>
      <c r="M12" s="178"/>
      <c r="N12" s="178"/>
      <c r="O12" s="178"/>
    </row>
    <row r="13" spans="1:21" ht="15.75" customHeight="1" thickBot="1" x14ac:dyDescent="0.3">
      <c r="B13" s="4"/>
      <c r="C13" s="2"/>
      <c r="D13" s="2"/>
      <c r="E13" s="2"/>
      <c r="F13" s="181"/>
      <c r="G13" s="2"/>
      <c r="H13" s="2"/>
      <c r="I13" s="2"/>
      <c r="K13" s="178"/>
      <c r="L13" s="178"/>
      <c r="M13" s="178"/>
      <c r="N13" s="178"/>
      <c r="O13" s="178"/>
    </row>
    <row r="14" spans="1:21" ht="31.5" customHeight="1" thickBot="1" x14ac:dyDescent="0.3">
      <c r="B14" s="15" t="s">
        <v>14</v>
      </c>
      <c r="C14" s="2"/>
      <c r="D14" s="70"/>
      <c r="E14" s="2" t="s">
        <v>2</v>
      </c>
      <c r="F14" s="70"/>
      <c r="G14" s="2" t="s">
        <v>1</v>
      </c>
      <c r="H14" s="69">
        <f>D14+F14</f>
        <v>0</v>
      </c>
      <c r="I14" s="2"/>
      <c r="K14" s="178"/>
      <c r="L14" s="178"/>
      <c r="M14" s="178"/>
      <c r="N14" s="178"/>
      <c r="O14" s="178"/>
    </row>
    <row r="15" spans="1:21" ht="15.75" thickBot="1" x14ac:dyDescent="0.3">
      <c r="B15" s="1"/>
      <c r="C15" s="2"/>
      <c r="D15" s="2"/>
      <c r="E15" s="2"/>
      <c r="F15" s="2"/>
      <c r="G15" s="2"/>
      <c r="H15" s="2"/>
      <c r="I15" s="2"/>
      <c r="K15" s="53"/>
      <c r="L15" s="53"/>
      <c r="M15" s="53"/>
    </row>
    <row r="16" spans="1:21" ht="30.75" customHeight="1" thickBot="1" x14ac:dyDescent="0.3">
      <c r="B16" s="15" t="s">
        <v>15</v>
      </c>
      <c r="C16" s="2"/>
      <c r="D16" s="70"/>
      <c r="E16" s="2" t="s">
        <v>2</v>
      </c>
      <c r="F16" s="70"/>
      <c r="G16" s="2" t="s">
        <v>1</v>
      </c>
      <c r="H16" s="69">
        <f>D16+F16</f>
        <v>0</v>
      </c>
      <c r="I16" s="2"/>
      <c r="K16" s="78" t="s">
        <v>6</v>
      </c>
      <c r="L16" s="177" t="s">
        <v>85</v>
      </c>
      <c r="M16" s="177"/>
      <c r="N16" s="177"/>
      <c r="O16" s="177"/>
    </row>
    <row r="17" spans="2:15" ht="15" customHeight="1" x14ac:dyDescent="0.25">
      <c r="B17" s="4"/>
      <c r="C17" s="2"/>
      <c r="D17" s="4"/>
      <c r="E17" s="2"/>
      <c r="F17" s="4"/>
      <c r="G17" s="2"/>
      <c r="H17" s="4"/>
      <c r="I17" s="2"/>
      <c r="K17" s="176" t="s">
        <v>167</v>
      </c>
      <c r="L17" s="176"/>
      <c r="M17" s="176"/>
      <c r="N17" s="176"/>
      <c r="O17" s="176"/>
    </row>
    <row r="18" spans="2:15" ht="20.25" customHeight="1" x14ac:dyDescent="0.25">
      <c r="K18" s="176"/>
      <c r="L18" s="176"/>
      <c r="M18" s="176"/>
      <c r="N18" s="176"/>
      <c r="O18" s="176"/>
    </row>
    <row r="19" spans="2:15" ht="26.25" x14ac:dyDescent="0.25">
      <c r="B19" s="77" t="s">
        <v>116</v>
      </c>
      <c r="K19" s="176"/>
      <c r="L19" s="176"/>
      <c r="M19" s="176"/>
      <c r="N19" s="176"/>
      <c r="O19" s="176"/>
    </row>
    <row r="20" spans="2:15" ht="11.25" customHeight="1" x14ac:dyDescent="0.25"/>
    <row r="21" spans="2:15" ht="18.75" x14ac:dyDescent="0.25">
      <c r="B21" s="41" t="s">
        <v>22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</row>
    <row r="22" spans="2:15" x14ac:dyDescent="0.25"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2:15" x14ac:dyDescent="0.25">
      <c r="B23" s="4"/>
      <c r="C23" s="4"/>
      <c r="D23" s="10" t="s">
        <v>16</v>
      </c>
      <c r="E23" s="4"/>
      <c r="F23" s="48"/>
      <c r="G23" s="48"/>
      <c r="H23" s="48"/>
      <c r="I23" s="48"/>
      <c r="J23" s="48"/>
      <c r="K23" s="48"/>
      <c r="L23" s="48"/>
      <c r="M23" s="48"/>
      <c r="N23" s="48"/>
      <c r="O23" s="48"/>
    </row>
    <row r="24" spans="2:15" x14ac:dyDescent="0.25">
      <c r="B24" s="4"/>
      <c r="C24" s="4"/>
      <c r="D24" s="2"/>
      <c r="E24" s="4"/>
      <c r="F24" s="48"/>
      <c r="G24" s="48"/>
      <c r="H24" s="48"/>
      <c r="I24" s="48"/>
      <c r="J24" s="48"/>
      <c r="K24" s="48"/>
      <c r="L24" s="48"/>
      <c r="M24" s="48"/>
      <c r="N24" s="48"/>
      <c r="O24" s="48"/>
    </row>
    <row r="25" spans="2:15" x14ac:dyDescent="0.25">
      <c r="B25" s="1" t="s">
        <v>18</v>
      </c>
      <c r="C25" s="4"/>
      <c r="D25" s="69">
        <f>Sheet4!$H$8</f>
        <v>0</v>
      </c>
      <c r="E25" s="4"/>
      <c r="F25" s="48"/>
      <c r="G25" s="48"/>
      <c r="H25" s="48"/>
      <c r="I25" s="48"/>
      <c r="J25" s="48"/>
      <c r="K25" s="48"/>
      <c r="L25" s="48"/>
      <c r="M25" s="48"/>
      <c r="N25" s="48"/>
      <c r="O25" s="48"/>
    </row>
    <row r="26" spans="2:15" x14ac:dyDescent="0.25">
      <c r="B26" s="1"/>
      <c r="C26" s="4"/>
      <c r="D26" s="2"/>
      <c r="E26" s="4"/>
      <c r="F26" s="48"/>
      <c r="G26" s="48"/>
      <c r="H26" s="48"/>
      <c r="I26" s="48"/>
      <c r="J26" s="48"/>
      <c r="K26" s="48"/>
      <c r="L26" s="48"/>
      <c r="M26" s="48"/>
      <c r="N26" s="48"/>
      <c r="O26" s="48"/>
    </row>
    <row r="27" spans="2:15" x14ac:dyDescent="0.25">
      <c r="B27" s="1" t="s">
        <v>17</v>
      </c>
      <c r="C27" s="4"/>
      <c r="D27" s="69">
        <f>Sheet4!$H$7</f>
        <v>0</v>
      </c>
      <c r="E27" s="4"/>
      <c r="F27" s="48"/>
      <c r="G27" s="48"/>
      <c r="H27" s="48"/>
      <c r="I27" s="48"/>
      <c r="J27" s="48"/>
      <c r="K27" s="48"/>
      <c r="L27" s="48"/>
      <c r="M27" s="48"/>
      <c r="N27" s="48"/>
      <c r="O27" s="48"/>
    </row>
    <row r="28" spans="2:15" x14ac:dyDescent="0.25">
      <c r="B28" s="1"/>
      <c r="C28" s="4"/>
      <c r="D28" s="2"/>
      <c r="E28" s="4"/>
      <c r="F28" s="48"/>
      <c r="G28" s="48"/>
      <c r="H28" s="48"/>
      <c r="I28" s="48"/>
      <c r="J28" s="48"/>
      <c r="K28" s="48"/>
      <c r="L28" s="48"/>
      <c r="M28" s="48"/>
      <c r="N28" s="48"/>
      <c r="O28" s="48"/>
    </row>
    <row r="29" spans="2:15" x14ac:dyDescent="0.25">
      <c r="B29" s="1" t="s">
        <v>23</v>
      </c>
      <c r="C29" s="4"/>
      <c r="D29" s="69">
        <f>Sheet4!$H$6</f>
        <v>0</v>
      </c>
      <c r="E29" s="4"/>
      <c r="F29" s="48"/>
      <c r="G29" s="48"/>
      <c r="H29" s="48"/>
      <c r="I29" s="48"/>
      <c r="J29" s="48"/>
      <c r="K29" s="48"/>
      <c r="L29" s="48"/>
      <c r="M29" s="48"/>
      <c r="N29" s="48"/>
      <c r="O29" s="48"/>
    </row>
    <row r="30" spans="2:15" x14ac:dyDescent="0.25">
      <c r="B30" s="1"/>
      <c r="C30" s="4"/>
      <c r="D30" s="2"/>
      <c r="E30" s="4"/>
      <c r="F30" s="48"/>
      <c r="G30" s="48"/>
      <c r="H30" s="48"/>
      <c r="I30" s="48"/>
      <c r="J30" s="48"/>
      <c r="K30" s="48"/>
      <c r="L30" s="48"/>
      <c r="M30" s="48"/>
      <c r="N30" s="48"/>
      <c r="O30" s="48"/>
    </row>
    <row r="31" spans="2:15" x14ac:dyDescent="0.25">
      <c r="B31" s="1" t="s">
        <v>21</v>
      </c>
      <c r="C31" s="4"/>
      <c r="D31" s="69">
        <f>Sheet4!$H$5</f>
        <v>0</v>
      </c>
      <c r="E31" s="4"/>
      <c r="F31" s="48"/>
      <c r="G31" s="48"/>
      <c r="H31" s="48"/>
      <c r="I31" s="48"/>
      <c r="J31" s="48"/>
      <c r="K31" s="48"/>
      <c r="L31" s="48"/>
      <c r="M31" s="48"/>
      <c r="N31" s="48"/>
      <c r="O31" s="48"/>
    </row>
    <row r="32" spans="2:15" x14ac:dyDescent="0.25">
      <c r="B32" s="4"/>
      <c r="C32" s="4"/>
      <c r="D32" s="4"/>
      <c r="E32" s="4"/>
      <c r="F32" s="48"/>
      <c r="G32" s="48"/>
      <c r="H32" s="48"/>
      <c r="I32" s="48"/>
      <c r="J32" s="48"/>
      <c r="K32" s="48"/>
      <c r="L32" s="48"/>
      <c r="M32" s="48"/>
      <c r="N32" s="48"/>
      <c r="O32" s="48"/>
    </row>
    <row r="33" spans="2:15" x14ac:dyDescent="0.25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</row>
    <row r="34" spans="2:15" x14ac:dyDescent="0.25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</row>
    <row r="35" spans="2:15" x14ac:dyDescent="0.25"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</row>
    <row r="36" spans="2:15" ht="11.25" customHeight="1" x14ac:dyDescent="0.25"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</row>
    <row r="37" spans="2:15" ht="18.75" x14ac:dyDescent="0.25">
      <c r="B37" s="85"/>
      <c r="C37" s="85" t="s">
        <v>50</v>
      </c>
      <c r="D37" s="87">
        <f>ROUND(D27+D29+D31+D25,-4)</f>
        <v>0</v>
      </c>
      <c r="E37" s="88" t="s">
        <v>47</v>
      </c>
      <c r="F37" s="86"/>
      <c r="G37" s="86"/>
      <c r="H37" s="86"/>
      <c r="I37" s="86"/>
      <c r="J37" s="86"/>
      <c r="K37" s="86"/>
      <c r="L37" s="86"/>
      <c r="M37" s="86"/>
      <c r="N37" s="86"/>
      <c r="O37" s="86"/>
    </row>
    <row r="38" spans="2:15" ht="18.75" x14ac:dyDescent="0.25">
      <c r="B38" s="85"/>
      <c r="C38" s="85"/>
      <c r="D38" s="89"/>
      <c r="E38" s="85" t="s">
        <v>51</v>
      </c>
      <c r="F38" s="87">
        <f>ROUND(D27+D29+D31,-4)</f>
        <v>0</v>
      </c>
      <c r="G38" s="88" t="s">
        <v>70</v>
      </c>
      <c r="H38" s="88"/>
      <c r="I38" s="88"/>
      <c r="J38" s="88"/>
      <c r="K38" s="88"/>
      <c r="L38" s="86"/>
      <c r="M38" s="86"/>
      <c r="N38" s="86"/>
      <c r="O38" s="86"/>
    </row>
    <row r="39" spans="2:15" ht="11.25" customHeight="1" x14ac:dyDescent="0.25"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</row>
    <row r="40" spans="2:15" ht="11.25" customHeight="1" x14ac:dyDescent="0.25"/>
    <row r="41" spans="2:15" ht="18.75" x14ac:dyDescent="0.25">
      <c r="B41" s="41" t="s">
        <v>76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</row>
    <row r="42" spans="2:15" x14ac:dyDescent="0.25"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2:15" x14ac:dyDescent="0.25">
      <c r="B43" s="4"/>
      <c r="C43" s="4"/>
      <c r="D43" s="10" t="s">
        <v>16</v>
      </c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</row>
    <row r="44" spans="2:15" x14ac:dyDescent="0.25">
      <c r="B44" s="4"/>
      <c r="C44" s="4"/>
      <c r="D44" s="2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</row>
    <row r="45" spans="2:15" x14ac:dyDescent="0.25">
      <c r="B45" s="1" t="s">
        <v>69</v>
      </c>
      <c r="C45" s="4"/>
      <c r="D45" s="69">
        <f>lähtötiedot!P59+lähtötiedot!P73</f>
        <v>0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2:15" x14ac:dyDescent="0.25">
      <c r="B46" s="1"/>
      <c r="C46" s="4"/>
      <c r="D46" s="2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2:15" x14ac:dyDescent="0.25">
      <c r="B47" s="1" t="s">
        <v>25</v>
      </c>
      <c r="C47" s="4"/>
      <c r="D47" s="69">
        <f>Sheet4!$H$3</f>
        <v>0</v>
      </c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</row>
    <row r="48" spans="2:15" x14ac:dyDescent="0.25">
      <c r="B48" s="1"/>
      <c r="C48" s="4"/>
      <c r="D48" s="2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</row>
    <row r="49" spans="2:15" x14ac:dyDescent="0.25">
      <c r="B49" s="1" t="s">
        <v>34</v>
      </c>
      <c r="C49" s="4"/>
      <c r="D49" s="69">
        <f>Sheet4!$H$2</f>
        <v>0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2:15" x14ac:dyDescent="0.25">
      <c r="B50" s="4"/>
      <c r="C50" s="4"/>
      <c r="D50" s="4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</row>
    <row r="51" spans="2:15" x14ac:dyDescent="0.25"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</row>
    <row r="52" spans="2:15" x14ac:dyDescent="0.25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2:15" x14ac:dyDescent="0.25"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</row>
    <row r="54" spans="2:15" ht="11.25" customHeight="1" x14ac:dyDescent="0.25"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2:15" ht="18.75" x14ac:dyDescent="0.25">
      <c r="B55" s="88"/>
      <c r="C55" s="85" t="s">
        <v>50</v>
      </c>
      <c r="D55" s="87">
        <f>ROUND(D45+D47+D49,-4)</f>
        <v>0</v>
      </c>
      <c r="E55" s="88" t="s">
        <v>46</v>
      </c>
      <c r="F55" s="88"/>
      <c r="G55" s="88"/>
      <c r="H55" s="88"/>
      <c r="I55" s="88"/>
      <c r="J55" s="88"/>
      <c r="K55" s="88"/>
      <c r="L55" s="91"/>
      <c r="M55" s="88"/>
      <c r="N55" s="81"/>
      <c r="O55" s="81"/>
    </row>
    <row r="56" spans="2:15" ht="18.75" x14ac:dyDescent="0.25">
      <c r="B56" s="88"/>
      <c r="C56" s="85"/>
      <c r="D56" s="91"/>
      <c r="E56" s="85" t="s">
        <v>51</v>
      </c>
      <c r="F56" s="94">
        <f>ROUND(lähtötiedot!P57+lähtötiedot!P73+lähtötiedot!P68,-4)</f>
        <v>0</v>
      </c>
      <c r="G56" s="88" t="s">
        <v>81</v>
      </c>
      <c r="H56" s="88"/>
      <c r="I56" s="88"/>
      <c r="J56" s="88"/>
      <c r="K56" s="88"/>
      <c r="L56" s="91"/>
      <c r="M56" s="88"/>
      <c r="N56" s="81"/>
      <c r="O56" s="81"/>
    </row>
    <row r="57" spans="2:15" ht="11.25" customHeight="1" x14ac:dyDescent="0.25"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</row>
    <row r="58" spans="2:15" x14ac:dyDescent="0.25"/>
    <row r="59" spans="2:15" hidden="1" x14ac:dyDescent="0.25"/>
  </sheetData>
  <sheetProtection selectLockedCells="1"/>
  <mergeCells count="5">
    <mergeCell ref="K17:O19"/>
    <mergeCell ref="L16:O16"/>
    <mergeCell ref="K8:O14"/>
    <mergeCell ref="L7:O7"/>
    <mergeCell ref="F12:F13"/>
  </mergeCells>
  <pageMargins left="0.7" right="0.7" top="0.75" bottom="0.75" header="0.3" footer="0.3"/>
  <pageSetup paperSize="9" orientation="portrait" r:id="rId1"/>
  <ignoredErrors>
    <ignoredError sqref="H1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Tavoitetaso" prompt="valitse tavoitetason toistuvuus">
          <x14:formula1>
            <xm:f>Sheet4!$AD$2:$AK$2</xm:f>
          </x14:formula1>
          <xm:sqref>F10</xm:sqref>
        </x14:dataValidation>
        <x14:dataValidation type="list" allowBlank="1" showInputMessage="1" promptTitle="Merkittävät tulvariskialueet" prompt="valitse alue luettelosta">
          <x14:formula1>
            <xm:f>Sheet4!$AC$5:$AC$30</xm:f>
          </x14:formula1>
          <xm:sqref>C10:D10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ul2"/>
  <dimension ref="A1:U752"/>
  <sheetViews>
    <sheetView topLeftCell="A41" workbookViewId="0">
      <selection activeCell="R24" sqref="R24"/>
    </sheetView>
  </sheetViews>
  <sheetFormatPr defaultColWidth="0" defaultRowHeight="15" zeroHeight="1" x14ac:dyDescent="0.25"/>
  <cols>
    <col min="1" max="1" width="4.85546875" style="8" customWidth="1"/>
    <col min="2" max="2" width="41.140625" style="8" customWidth="1"/>
    <col min="3" max="3" width="4.7109375" style="7" customWidth="1"/>
    <col min="4" max="4" width="14.7109375" style="8" customWidth="1"/>
    <col min="5" max="5" width="4.7109375" style="7" customWidth="1"/>
    <col min="6" max="6" width="19.140625" style="8" customWidth="1"/>
    <col min="7" max="7" width="4.7109375" style="7" customWidth="1"/>
    <col min="8" max="8" width="14.7109375" style="8" customWidth="1"/>
    <col min="9" max="9" width="4.7109375" style="7" customWidth="1"/>
    <col min="10" max="10" width="14.7109375" style="8" customWidth="1"/>
    <col min="11" max="11" width="4.7109375" style="8" customWidth="1"/>
    <col min="12" max="12" width="6.7109375" style="8" customWidth="1"/>
    <col min="13" max="13" width="3.7109375" style="8" customWidth="1"/>
    <col min="14" max="14" width="14.7109375" style="8" customWidth="1"/>
    <col min="15" max="15" width="3.7109375" style="8" customWidth="1"/>
    <col min="16" max="16" width="14.7109375" style="8" customWidth="1"/>
    <col min="17" max="17" width="3.7109375" style="8" customWidth="1"/>
    <col min="18" max="18" width="15" style="8" customWidth="1"/>
    <col min="19" max="19" width="4.85546875" style="8" customWidth="1"/>
    <col min="20" max="16384" width="9.140625" style="8" hidden="1"/>
  </cols>
  <sheetData>
    <row r="1" spans="1:21" customFormat="1" ht="15" customHeight="1" x14ac:dyDescent="0.25">
      <c r="A1" s="47"/>
      <c r="B1" s="4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8"/>
      <c r="U1" s="56"/>
    </row>
    <row r="2" spans="1:21" customFormat="1" ht="36" x14ac:dyDescent="0.55000000000000004">
      <c r="A2" s="47"/>
      <c r="B2" s="75" t="s">
        <v>7</v>
      </c>
      <c r="C2" s="66"/>
      <c r="D2" s="66"/>
      <c r="E2" s="66"/>
      <c r="F2" s="66"/>
      <c r="G2" s="66"/>
      <c r="H2" s="66"/>
      <c r="I2" s="66"/>
      <c r="J2" s="66"/>
      <c r="K2" s="57"/>
      <c r="L2" s="57"/>
      <c r="M2" s="57"/>
      <c r="N2" s="57"/>
      <c r="O2" s="58"/>
      <c r="P2" s="57"/>
      <c r="Q2" s="59"/>
      <c r="R2" s="59"/>
      <c r="S2" s="67"/>
      <c r="T2" s="68"/>
      <c r="U2" s="56"/>
    </row>
    <row r="3" spans="1:21" customFormat="1" ht="26.25" customHeight="1" x14ac:dyDescent="0.25">
      <c r="A3" s="47"/>
      <c r="B3" s="130" t="s">
        <v>84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8"/>
      <c r="U3" s="56"/>
    </row>
    <row r="4" spans="1:21" customFormat="1" ht="15" customHeight="1" x14ac:dyDescent="0.25">
      <c r="A4" s="47"/>
      <c r="B4" s="76" t="str">
        <f>'hyöty-vahinkoarviot'!B4</f>
        <v>v4. 17.4.2019 (AP /  SYKE)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60"/>
      <c r="U4" s="56"/>
    </row>
    <row r="5" spans="1:21" s="79" customFormat="1" ht="6.95" customHeight="1" x14ac:dyDescent="0.25"/>
    <row r="6" spans="1:21" x14ac:dyDescent="0.25"/>
    <row r="7" spans="1:21" ht="26.25" x14ac:dyDescent="0.25">
      <c r="B7" s="77" t="s">
        <v>8</v>
      </c>
    </row>
    <row r="8" spans="1:21" s="33" customFormat="1" ht="11.25" x14ac:dyDescent="0.25">
      <c r="B8" s="34"/>
      <c r="C8" s="35"/>
      <c r="E8" s="35"/>
      <c r="G8" s="35"/>
      <c r="I8" s="35"/>
    </row>
    <row r="9" spans="1:21" s="31" customFormat="1" ht="26.25" x14ac:dyDescent="0.25">
      <c r="B9" s="54" t="s">
        <v>10</v>
      </c>
      <c r="C9" s="22"/>
      <c r="D9" s="29"/>
      <c r="E9" s="22"/>
      <c r="F9" s="29"/>
      <c r="G9" s="22"/>
      <c r="H9" s="29"/>
      <c r="I9" s="22"/>
      <c r="K9" s="78" t="s">
        <v>6</v>
      </c>
      <c r="L9" s="177" t="s">
        <v>86</v>
      </c>
      <c r="M9" s="177"/>
      <c r="N9" s="177"/>
      <c r="O9" s="177"/>
      <c r="P9" s="177"/>
      <c r="Q9" s="177"/>
      <c r="R9" s="177"/>
    </row>
    <row r="10" spans="1:21" ht="15" customHeight="1" x14ac:dyDescent="0.25">
      <c r="B10" s="4"/>
      <c r="C10" s="2"/>
      <c r="D10" s="10" t="s">
        <v>71</v>
      </c>
      <c r="E10" s="10"/>
      <c r="F10" s="182" t="s">
        <v>72</v>
      </c>
      <c r="G10" s="10"/>
      <c r="H10" s="10" t="s">
        <v>13</v>
      </c>
      <c r="I10" s="2"/>
      <c r="K10" s="176" t="s">
        <v>87</v>
      </c>
      <c r="L10" s="178"/>
      <c r="M10" s="178"/>
      <c r="N10" s="178"/>
      <c r="O10" s="178"/>
      <c r="P10" s="178"/>
      <c r="Q10" s="178"/>
      <c r="R10" s="178"/>
    </row>
    <row r="11" spans="1:21" ht="18" customHeight="1" x14ac:dyDescent="0.25">
      <c r="B11" s="4"/>
      <c r="C11" s="2"/>
      <c r="D11" s="2"/>
      <c r="E11" s="2"/>
      <c r="F11" s="183"/>
      <c r="G11" s="2"/>
      <c r="H11" s="2"/>
      <c r="I11" s="2"/>
      <c r="K11" s="178"/>
      <c r="L11" s="178"/>
      <c r="M11" s="178"/>
      <c r="N11" s="178"/>
      <c r="O11" s="178"/>
      <c r="P11" s="178"/>
      <c r="Q11" s="178"/>
      <c r="R11" s="178"/>
    </row>
    <row r="12" spans="1:21" ht="30.75" customHeight="1" x14ac:dyDescent="0.25">
      <c r="B12" s="15" t="s">
        <v>14</v>
      </c>
      <c r="C12" s="2"/>
      <c r="D12" s="72">
        <f>'hyöty-vahinkoarviot'!D14</f>
        <v>0</v>
      </c>
      <c r="E12" s="2" t="s">
        <v>2</v>
      </c>
      <c r="F12" s="72">
        <f>'hyöty-vahinkoarviot'!F14</f>
        <v>0</v>
      </c>
      <c r="G12" s="2" t="s">
        <v>1</v>
      </c>
      <c r="H12" s="69">
        <f>D12+F12</f>
        <v>0</v>
      </c>
      <c r="I12" s="2"/>
      <c r="K12" s="178"/>
      <c r="L12" s="178"/>
      <c r="M12" s="178"/>
      <c r="N12" s="178"/>
      <c r="O12" s="178"/>
      <c r="P12" s="178"/>
      <c r="Q12" s="178"/>
      <c r="R12" s="178"/>
    </row>
    <row r="13" spans="1:21" x14ac:dyDescent="0.25">
      <c r="B13" s="1"/>
      <c r="C13" s="2"/>
      <c r="D13" s="2"/>
      <c r="E13" s="2"/>
      <c r="F13" s="2"/>
      <c r="G13" s="2"/>
      <c r="H13" s="2"/>
      <c r="I13" s="2"/>
      <c r="K13" s="184"/>
      <c r="L13" s="184"/>
      <c r="M13" s="184"/>
      <c r="N13" s="184"/>
      <c r="O13" s="184"/>
      <c r="P13" s="184"/>
      <c r="Q13" s="184"/>
      <c r="R13" s="184"/>
    </row>
    <row r="14" spans="1:21" ht="30" x14ac:dyDescent="0.25">
      <c r="B14" s="15" t="s">
        <v>15</v>
      </c>
      <c r="C14" s="2"/>
      <c r="D14" s="72">
        <f>'hyöty-vahinkoarviot'!D16</f>
        <v>0</v>
      </c>
      <c r="E14" s="2" t="s">
        <v>2</v>
      </c>
      <c r="F14" s="72">
        <f>'hyöty-vahinkoarviot'!F16</f>
        <v>0</v>
      </c>
      <c r="G14" s="2" t="s">
        <v>1</v>
      </c>
      <c r="H14" s="69">
        <f>D14+F14</f>
        <v>0</v>
      </c>
      <c r="I14" s="2"/>
      <c r="K14" s="73"/>
      <c r="L14" s="73"/>
      <c r="M14" s="73"/>
      <c r="N14" s="73"/>
      <c r="O14" s="73"/>
      <c r="P14" s="73"/>
      <c r="Q14" s="73"/>
      <c r="R14" s="73"/>
    </row>
    <row r="15" spans="1:21" x14ac:dyDescent="0.25">
      <c r="B15" s="4"/>
      <c r="C15" s="2"/>
      <c r="D15" s="4"/>
      <c r="E15" s="2"/>
      <c r="F15" s="4"/>
      <c r="G15" s="2"/>
      <c r="H15" s="4"/>
      <c r="I15" s="2"/>
    </row>
    <row r="16" spans="1:21" x14ac:dyDescent="0.25"/>
    <row r="17" spans="2:9" ht="26.25" x14ac:dyDescent="0.25">
      <c r="B17" s="77" t="s">
        <v>22</v>
      </c>
    </row>
    <row r="18" spans="2:9" s="33" customFormat="1" ht="11.25" x14ac:dyDescent="0.25">
      <c r="B18" s="34"/>
      <c r="C18" s="35"/>
      <c r="E18" s="35"/>
      <c r="G18" s="35"/>
      <c r="I18" s="35"/>
    </row>
    <row r="19" spans="2:9" x14ac:dyDescent="0.25">
      <c r="B19" s="4"/>
      <c r="C19" s="2"/>
      <c r="D19" s="4"/>
      <c r="E19" s="2"/>
      <c r="F19" s="4"/>
      <c r="G19" s="2"/>
      <c r="H19" s="4"/>
      <c r="I19" s="2"/>
    </row>
    <row r="20" spans="2:9" x14ac:dyDescent="0.25">
      <c r="B20" s="1" t="s">
        <v>28</v>
      </c>
      <c r="C20" s="2" t="s">
        <v>1</v>
      </c>
      <c r="D20" s="2" t="s">
        <v>26</v>
      </c>
      <c r="E20" s="2" t="s">
        <v>3</v>
      </c>
      <c r="F20" s="2" t="s">
        <v>27</v>
      </c>
      <c r="G20" s="2"/>
      <c r="H20" s="32" t="b">
        <f>IF(AND(ISBLANK(F26),ISBLANK(F29),ISBLANK(F32)),FALSE,TRUE)</f>
        <v>1</v>
      </c>
      <c r="I20" s="2"/>
    </row>
    <row r="21" spans="2:9" x14ac:dyDescent="0.25">
      <c r="B21" s="4"/>
      <c r="C21" s="2"/>
      <c r="D21" s="69">
        <f>H12</f>
        <v>0</v>
      </c>
      <c r="E21" s="2" t="s">
        <v>3</v>
      </c>
      <c r="F21" s="69">
        <f>H14</f>
        <v>0</v>
      </c>
      <c r="G21" s="2" t="s">
        <v>1</v>
      </c>
      <c r="H21" s="69">
        <f>D21-F21</f>
        <v>0</v>
      </c>
      <c r="I21" s="2"/>
    </row>
    <row r="22" spans="2:9" x14ac:dyDescent="0.25">
      <c r="B22" s="4"/>
      <c r="C22" s="2"/>
      <c r="D22" s="4"/>
      <c r="E22" s="2"/>
      <c r="F22" s="4"/>
      <c r="G22" s="2"/>
      <c r="H22" s="121">
        <f>D12-D14</f>
        <v>0</v>
      </c>
      <c r="I22" s="2"/>
    </row>
    <row r="23" spans="2:9" ht="72.75" customHeight="1" x14ac:dyDescent="0.25">
      <c r="B23" s="11"/>
      <c r="C23" s="2"/>
      <c r="D23" s="13" t="str">
        <f>"% toimenpiteillä vältetyistä vahingoista ("&amp;H21&amp;" €)"</f>
        <v>% toimenpiteillä vältetyistä vahingoista (0 €)</v>
      </c>
      <c r="E23" s="2"/>
      <c r="F23" s="13" t="s">
        <v>35</v>
      </c>
      <c r="G23" s="2"/>
      <c r="H23" s="3" t="s">
        <v>33</v>
      </c>
      <c r="I23" s="2"/>
    </row>
    <row r="24" spans="2:9" ht="48" x14ac:dyDescent="0.25">
      <c r="B24" s="11"/>
      <c r="C24" s="2"/>
      <c r="D24" s="13"/>
      <c r="E24" s="2"/>
      <c r="F24" s="14" t="s">
        <v>36</v>
      </c>
      <c r="G24" s="2"/>
      <c r="H24" s="5" t="str">
        <f>IF(H20,"Vältetyt vahingot toimintavrmuus huomioon ottaen","Jos toimenpiteet onnistuvat suunnitellusti 100 %:sesti")</f>
        <v>Vältetyt vahingot toimintavrmuus huomioon ottaen</v>
      </c>
      <c r="I24" s="2"/>
    </row>
    <row r="25" spans="2:9" ht="15.75" thickBot="1" x14ac:dyDescent="0.3">
      <c r="B25" s="4"/>
      <c r="C25" s="2"/>
      <c r="D25" s="4"/>
      <c r="E25" s="2"/>
      <c r="F25" s="4"/>
      <c r="G25" s="2"/>
      <c r="H25" s="4"/>
      <c r="I25" s="2"/>
    </row>
    <row r="26" spans="2:9" ht="30.75" customHeight="1" thickBot="1" x14ac:dyDescent="0.3">
      <c r="B26" s="15" t="s">
        <v>62</v>
      </c>
      <c r="C26" s="2"/>
      <c r="D26" s="61">
        <v>0.28000000000000003</v>
      </c>
      <c r="E26" s="2"/>
      <c r="F26" s="62">
        <v>0.98</v>
      </c>
      <c r="G26" s="2"/>
      <c r="H26" s="69">
        <f>IF($H$20,IF(ISBLANK(F26),1,F26)*H21*D26,H21*D26)</f>
        <v>0</v>
      </c>
      <c r="I26" s="2"/>
    </row>
    <row r="27" spans="2:9" ht="24" x14ac:dyDescent="0.25">
      <c r="B27" s="12" t="s">
        <v>52</v>
      </c>
      <c r="C27" s="2"/>
      <c r="D27" s="4"/>
      <c r="E27" s="2"/>
      <c r="F27" s="4"/>
      <c r="G27" s="2"/>
      <c r="H27" s="2"/>
      <c r="I27" s="2"/>
    </row>
    <row r="28" spans="2:9" ht="15.75" thickBot="1" x14ac:dyDescent="0.3">
      <c r="B28" s="4"/>
      <c r="C28" s="2"/>
      <c r="D28" s="4"/>
      <c r="E28" s="2"/>
      <c r="F28" s="4"/>
      <c r="G28" s="2"/>
      <c r="H28" s="2"/>
      <c r="I28" s="2"/>
    </row>
    <row r="29" spans="2:9" ht="15.75" thickBot="1" x14ac:dyDescent="0.3">
      <c r="B29" s="15" t="s">
        <v>23</v>
      </c>
      <c r="C29" s="2"/>
      <c r="D29" s="61">
        <v>0.1</v>
      </c>
      <c r="E29" s="2"/>
      <c r="F29" s="62">
        <v>0.5</v>
      </c>
      <c r="G29" s="2"/>
      <c r="H29" s="69">
        <f>IF($H$20,IF(ISBLANK(F29),1,F29)*H21*D29,H21*D29)</f>
        <v>0</v>
      </c>
      <c r="I29" s="2"/>
    </row>
    <row r="30" spans="2:9" ht="24" x14ac:dyDescent="0.25">
      <c r="B30" s="12" t="s">
        <v>24</v>
      </c>
      <c r="C30" s="2"/>
      <c r="D30" s="4"/>
      <c r="E30" s="2"/>
      <c r="F30" s="4"/>
      <c r="G30" s="2"/>
      <c r="H30" s="2"/>
      <c r="I30" s="2"/>
    </row>
    <row r="31" spans="2:9" ht="15.75" thickBot="1" x14ac:dyDescent="0.3">
      <c r="B31" s="4"/>
      <c r="C31" s="2"/>
      <c r="D31" s="4"/>
      <c r="E31" s="2"/>
      <c r="F31" s="4"/>
      <c r="G31" s="2"/>
      <c r="H31" s="2"/>
      <c r="I31" s="2"/>
    </row>
    <row r="32" spans="2:9" ht="30.75" thickBot="1" x14ac:dyDescent="0.3">
      <c r="B32" s="15" t="s">
        <v>64</v>
      </c>
      <c r="C32" s="2"/>
      <c r="D32" s="61">
        <v>0.05</v>
      </c>
      <c r="E32" s="2"/>
      <c r="F32" s="62">
        <v>0.8</v>
      </c>
      <c r="G32" s="2"/>
      <c r="H32" s="69">
        <f>IF($H$20,IF(ISBLANK(F32),1,F32)*H21*D32,H21*D32)</f>
        <v>0</v>
      </c>
      <c r="I32" s="2"/>
    </row>
    <row r="33" spans="1:10" x14ac:dyDescent="0.25">
      <c r="B33" s="12" t="s">
        <v>63</v>
      </c>
      <c r="C33" s="2"/>
      <c r="D33" s="4"/>
      <c r="E33" s="2"/>
      <c r="F33" s="4"/>
      <c r="G33" s="2"/>
      <c r="H33" s="4"/>
      <c r="I33" s="2"/>
    </row>
    <row r="34" spans="1:10" x14ac:dyDescent="0.25">
      <c r="B34" s="4"/>
      <c r="C34" s="2"/>
      <c r="D34" s="4"/>
      <c r="E34" s="2"/>
      <c r="F34" s="4"/>
      <c r="G34" s="2"/>
      <c r="H34" s="4"/>
      <c r="I34" s="2"/>
    </row>
    <row r="35" spans="1:10" ht="30" x14ac:dyDescent="0.25">
      <c r="B35" s="15" t="s">
        <v>19</v>
      </c>
      <c r="C35" s="2"/>
      <c r="D35" s="16">
        <f>100%-D26-D29-D32</f>
        <v>0.56999999999999995</v>
      </c>
      <c r="E35" s="2"/>
      <c r="F35" s="4"/>
      <c r="G35" s="2"/>
      <c r="H35" s="69">
        <f>D35*H21</f>
        <v>0</v>
      </c>
      <c r="I35" s="2"/>
      <c r="J35" s="51"/>
    </row>
    <row r="36" spans="1:10" ht="24" x14ac:dyDescent="0.25">
      <c r="B36" s="12" t="s">
        <v>20</v>
      </c>
      <c r="C36" s="2"/>
      <c r="D36" s="4"/>
      <c r="E36" s="2"/>
      <c r="F36" s="4"/>
      <c r="G36" s="2"/>
      <c r="H36" s="4"/>
      <c r="I36" s="2"/>
    </row>
    <row r="37" spans="1:10" x14ac:dyDescent="0.25">
      <c r="B37" s="12"/>
      <c r="C37" s="2"/>
      <c r="D37" s="4"/>
      <c r="E37" s="2"/>
      <c r="F37" s="4"/>
      <c r="G37" s="2"/>
      <c r="H37" s="4"/>
      <c r="I37" s="2"/>
    </row>
    <row r="38" spans="1:10" x14ac:dyDescent="0.25">
      <c r="B38" s="30"/>
    </row>
    <row r="39" spans="1:10" ht="26.25" x14ac:dyDescent="0.25">
      <c r="B39" s="77" t="s">
        <v>76</v>
      </c>
    </row>
    <row r="40" spans="1:10" s="33" customFormat="1" ht="11.25" x14ac:dyDescent="0.25">
      <c r="A40" s="33" t="s">
        <v>5</v>
      </c>
      <c r="B40" s="34"/>
      <c r="C40" s="35"/>
      <c r="E40" s="35"/>
      <c r="G40" s="35"/>
      <c r="I40" s="35"/>
    </row>
    <row r="41" spans="1:10" ht="24" customHeight="1" thickBot="1" x14ac:dyDescent="0.3">
      <c r="B41" s="41" t="s">
        <v>9</v>
      </c>
      <c r="C41" s="2"/>
      <c r="D41" s="4" t="s">
        <v>66</v>
      </c>
      <c r="E41" s="2"/>
      <c r="F41" s="4" t="s">
        <v>67</v>
      </c>
      <c r="G41" s="2"/>
      <c r="H41" s="4"/>
      <c r="I41" s="4"/>
    </row>
    <row r="42" spans="1:10" ht="15.75" thickBot="1" x14ac:dyDescent="0.3">
      <c r="B42" s="21" t="s">
        <v>9</v>
      </c>
      <c r="C42" s="2"/>
      <c r="D42" s="62" t="s">
        <v>65</v>
      </c>
      <c r="E42" s="10"/>
      <c r="F42" s="62" t="s">
        <v>29</v>
      </c>
      <c r="G42" s="2"/>
      <c r="H42" s="10" t="s">
        <v>30</v>
      </c>
      <c r="I42" s="4"/>
    </row>
    <row r="43" spans="1:10" ht="15.75" thickBot="1" x14ac:dyDescent="0.3">
      <c r="B43" s="21"/>
      <c r="C43" s="2"/>
      <c r="D43" s="4"/>
      <c r="E43" s="2"/>
      <c r="F43" s="4"/>
      <c r="G43" s="2"/>
      <c r="H43" s="4"/>
      <c r="I43" s="4"/>
    </row>
    <row r="44" spans="1:10" ht="30.75" thickBot="1" x14ac:dyDescent="0.3">
      <c r="B44" s="17" t="s">
        <v>60</v>
      </c>
      <c r="C44" s="2"/>
      <c r="D44" s="63">
        <v>0.5</v>
      </c>
      <c r="E44" s="2" t="s">
        <v>2</v>
      </c>
      <c r="F44" s="63">
        <v>0.5</v>
      </c>
      <c r="G44" s="2" t="s">
        <v>1</v>
      </c>
      <c r="H44" s="16">
        <f>D44+F44</f>
        <v>1</v>
      </c>
      <c r="I44" s="4"/>
    </row>
    <row r="45" spans="1:10" ht="15.75" thickBot="1" x14ac:dyDescent="0.3">
      <c r="B45" s="21"/>
      <c r="C45" s="2"/>
      <c r="D45" s="4"/>
      <c r="E45" s="2"/>
      <c r="F45" s="4"/>
      <c r="G45" s="2"/>
      <c r="H45" s="4"/>
      <c r="I45" s="4"/>
    </row>
    <row r="46" spans="1:10" ht="30.75" thickBot="1" x14ac:dyDescent="0.3">
      <c r="B46" s="17" t="s">
        <v>59</v>
      </c>
      <c r="C46" s="2"/>
      <c r="D46" s="63">
        <v>0.3</v>
      </c>
      <c r="E46" s="2"/>
      <c r="F46" s="63">
        <v>0.6</v>
      </c>
      <c r="G46" s="27" t="s">
        <v>4</v>
      </c>
      <c r="H46" s="26">
        <f>D44*D46+F44*F46</f>
        <v>0.44999999999999996</v>
      </c>
      <c r="I46" s="4"/>
    </row>
    <row r="47" spans="1:10" ht="15.75" thickBot="1" x14ac:dyDescent="0.3">
      <c r="B47" s="17"/>
      <c r="C47" s="2"/>
      <c r="D47" s="2"/>
      <c r="E47" s="2"/>
      <c r="F47" s="2"/>
      <c r="G47" s="2"/>
      <c r="H47" s="4"/>
      <c r="I47" s="4"/>
    </row>
    <row r="48" spans="1:10" ht="30.75" thickBot="1" x14ac:dyDescent="0.3">
      <c r="B48" s="17" t="s">
        <v>37</v>
      </c>
      <c r="C48" s="2"/>
      <c r="D48" s="62">
        <v>0.72</v>
      </c>
      <c r="E48" s="2"/>
      <c r="F48" s="62">
        <v>0.8</v>
      </c>
      <c r="G48" s="27" t="s">
        <v>4</v>
      </c>
      <c r="H48" s="26">
        <f>D44*D48+F44*F48</f>
        <v>0.76</v>
      </c>
      <c r="I48" s="4"/>
    </row>
    <row r="49" spans="2:18" ht="16.5" x14ac:dyDescent="0.25">
      <c r="B49" s="17"/>
      <c r="C49" s="2"/>
      <c r="D49" s="16"/>
      <c r="E49" s="2"/>
      <c r="F49" s="16"/>
      <c r="G49" s="27"/>
      <c r="H49" s="26"/>
      <c r="I49" s="4"/>
    </row>
    <row r="50" spans="2:18" s="33" customFormat="1" ht="11.25" x14ac:dyDescent="0.25">
      <c r="B50" s="37"/>
      <c r="C50" s="35"/>
      <c r="D50" s="38"/>
      <c r="E50" s="35"/>
      <c r="F50" s="38"/>
      <c r="G50" s="35"/>
      <c r="H50" s="38"/>
      <c r="I50" s="39"/>
      <c r="J50" s="40"/>
      <c r="R50" s="123"/>
    </row>
    <row r="51" spans="2:18" ht="24" customHeight="1" x14ac:dyDescent="0.25">
      <c r="B51" s="41" t="s">
        <v>73</v>
      </c>
      <c r="C51" s="2"/>
      <c r="D51" s="4"/>
      <c r="E51" s="2"/>
      <c r="F51" s="4"/>
      <c r="G51" s="2"/>
      <c r="H51" s="4"/>
      <c r="I51" s="2"/>
      <c r="J51" s="4"/>
      <c r="K51" s="4"/>
      <c r="L51" s="4"/>
      <c r="M51" s="7"/>
    </row>
    <row r="52" spans="2:18" ht="75" x14ac:dyDescent="0.25">
      <c r="B52" s="1" t="s">
        <v>16</v>
      </c>
      <c r="C52" s="2" t="s">
        <v>1</v>
      </c>
      <c r="D52" s="13" t="s">
        <v>42</v>
      </c>
      <c r="E52" s="2" t="s">
        <v>0</v>
      </c>
      <c r="F52" s="13" t="s">
        <v>68</v>
      </c>
      <c r="G52" s="2" t="s">
        <v>0</v>
      </c>
      <c r="H52" s="13" t="s">
        <v>61</v>
      </c>
      <c r="I52" s="2" t="s">
        <v>0</v>
      </c>
      <c r="J52" s="13" t="s">
        <v>41</v>
      </c>
      <c r="K52" s="4"/>
      <c r="L52" s="4"/>
      <c r="M52" s="7"/>
      <c r="N52" s="80" t="s">
        <v>32</v>
      </c>
      <c r="O52" s="43"/>
      <c r="P52" s="80" t="s">
        <v>31</v>
      </c>
      <c r="Q52" s="43"/>
      <c r="R52" s="80" t="s">
        <v>45</v>
      </c>
    </row>
    <row r="53" spans="2:18" x14ac:dyDescent="0.25">
      <c r="B53" s="4"/>
      <c r="C53" s="2"/>
      <c r="D53" s="5"/>
      <c r="E53" s="2"/>
      <c r="F53" s="5"/>
      <c r="G53" s="2"/>
      <c r="H53" s="5"/>
      <c r="I53" s="2"/>
      <c r="J53" s="5"/>
      <c r="K53" s="4"/>
      <c r="L53" s="4"/>
      <c r="M53" s="7"/>
      <c r="N53" s="93">
        <f>IF(H20,D12-(Sheet4!L7+Sheet4!L8+Sheet4!L9+Sheet4!L10),D14)</f>
        <v>0</v>
      </c>
      <c r="O53" s="44"/>
      <c r="P53" s="4"/>
      <c r="Q53" s="25"/>
      <c r="R53" s="4"/>
    </row>
    <row r="54" spans="2:18" ht="19.5" thickBot="1" x14ac:dyDescent="0.3">
      <c r="B54" s="97"/>
      <c r="C54" s="2"/>
      <c r="D54" s="4"/>
      <c r="E54" s="2"/>
      <c r="F54" s="4"/>
      <c r="G54" s="2"/>
      <c r="H54" s="4"/>
      <c r="I54" s="2"/>
      <c r="J54" s="4"/>
      <c r="K54" s="4"/>
      <c r="L54" s="4"/>
      <c r="M54" s="7"/>
      <c r="N54" s="4"/>
      <c r="O54" s="25"/>
      <c r="P54" s="4"/>
      <c r="Q54" s="25"/>
      <c r="R54" s="4"/>
    </row>
    <row r="55" spans="2:18" ht="15.75" thickBot="1" x14ac:dyDescent="0.3">
      <c r="B55" s="1" t="s">
        <v>54</v>
      </c>
      <c r="C55" s="2"/>
      <c r="D55" s="4"/>
      <c r="E55" s="2"/>
      <c r="F55" s="63">
        <v>0.03</v>
      </c>
      <c r="G55" s="2" t="s">
        <v>0</v>
      </c>
      <c r="H55" s="63">
        <v>0.75</v>
      </c>
      <c r="I55" s="2"/>
      <c r="J55" s="4"/>
      <c r="K55" s="2" t="s">
        <v>1</v>
      </c>
      <c r="L55" s="19">
        <f>F55*H55</f>
        <v>2.2499999999999999E-2</v>
      </c>
      <c r="M55" s="7"/>
      <c r="N55" s="93">
        <f>N59</f>
        <v>0</v>
      </c>
      <c r="O55" s="64"/>
      <c r="P55" s="93">
        <f>L55*N55</f>
        <v>0</v>
      </c>
      <c r="Q55" s="25"/>
      <c r="R55" s="4"/>
    </row>
    <row r="56" spans="2:18" ht="15.75" thickBot="1" x14ac:dyDescent="0.3">
      <c r="B56" s="71" t="s">
        <v>57</v>
      </c>
      <c r="C56" s="2"/>
      <c r="D56" s="4"/>
      <c r="E56" s="2"/>
      <c r="F56" s="4"/>
      <c r="G56" s="2"/>
      <c r="H56" s="4"/>
      <c r="I56" s="2"/>
      <c r="J56" s="4"/>
      <c r="K56" s="2"/>
      <c r="L56" s="23" t="s">
        <v>2</v>
      </c>
      <c r="M56" s="7"/>
      <c r="N56" s="65"/>
      <c r="O56" s="64"/>
      <c r="P56" s="22" t="s">
        <v>2</v>
      </c>
      <c r="Q56" s="25"/>
      <c r="R56" s="4"/>
    </row>
    <row r="57" spans="2:18" ht="15.75" thickBot="1" x14ac:dyDescent="0.3">
      <c r="B57" s="1" t="s">
        <v>53</v>
      </c>
      <c r="C57" s="2"/>
      <c r="D57" s="63">
        <v>1</v>
      </c>
      <c r="E57" s="2" t="s">
        <v>0</v>
      </c>
      <c r="F57" s="63">
        <v>0.2</v>
      </c>
      <c r="G57" s="2" t="s">
        <v>0</v>
      </c>
      <c r="H57" s="63">
        <v>0.75</v>
      </c>
      <c r="I57" s="2" t="s">
        <v>0</v>
      </c>
      <c r="J57" s="24">
        <f>H46</f>
        <v>0.44999999999999996</v>
      </c>
      <c r="K57" s="2" t="s">
        <v>1</v>
      </c>
      <c r="L57" s="19">
        <f>D57*F57*H57*J57</f>
        <v>6.7500000000000004E-2</v>
      </c>
      <c r="M57" s="7"/>
      <c r="N57" s="93">
        <f>N59</f>
        <v>0</v>
      </c>
      <c r="O57" s="64"/>
      <c r="P57" s="93">
        <f>L57*N57</f>
        <v>0</v>
      </c>
      <c r="Q57" s="25"/>
      <c r="R57" s="4"/>
    </row>
    <row r="58" spans="2:18" x14ac:dyDescent="0.25">
      <c r="B58" s="71" t="s">
        <v>56</v>
      </c>
      <c r="C58" s="2"/>
      <c r="D58" s="4"/>
      <c r="E58" s="2"/>
      <c r="F58" s="4"/>
      <c r="G58" s="2"/>
      <c r="H58" s="4"/>
      <c r="I58" s="2"/>
      <c r="J58" s="4"/>
      <c r="K58" s="2"/>
      <c r="L58" s="2" t="s">
        <v>1</v>
      </c>
      <c r="M58" s="7"/>
      <c r="N58" s="65"/>
      <c r="O58" s="64"/>
      <c r="P58" s="22" t="s">
        <v>1</v>
      </c>
      <c r="Q58" s="25"/>
      <c r="R58" s="4"/>
    </row>
    <row r="59" spans="2:18" ht="16.5" x14ac:dyDescent="0.25">
      <c r="B59" s="15" t="s">
        <v>55</v>
      </c>
      <c r="C59" s="2"/>
      <c r="D59" s="4"/>
      <c r="E59" s="2"/>
      <c r="F59" s="4"/>
      <c r="G59" s="2"/>
      <c r="H59" s="4"/>
      <c r="I59" s="2"/>
      <c r="J59" s="4"/>
      <c r="K59" s="2"/>
      <c r="L59" s="18">
        <f>L55+L57</f>
        <v>0.09</v>
      </c>
      <c r="M59" s="7" t="s">
        <v>0</v>
      </c>
      <c r="N59" s="69">
        <f>N53</f>
        <v>0</v>
      </c>
      <c r="O59" s="44" t="s">
        <v>1</v>
      </c>
      <c r="P59" s="69">
        <f>N59*L59</f>
        <v>0</v>
      </c>
      <c r="Q59" s="46" t="s">
        <v>4</v>
      </c>
      <c r="R59" s="69">
        <f>N59-P59</f>
        <v>0</v>
      </c>
    </row>
    <row r="60" spans="2:18" ht="15.75" thickBot="1" x14ac:dyDescent="0.3">
      <c r="B60" s="12"/>
      <c r="C60" s="2"/>
      <c r="D60" s="4"/>
      <c r="E60" s="2"/>
      <c r="F60" s="4"/>
      <c r="G60" s="2"/>
      <c r="H60" s="4"/>
      <c r="I60" s="2"/>
      <c r="J60" s="4"/>
      <c r="K60" s="2"/>
      <c r="L60" s="18"/>
      <c r="M60" s="7"/>
      <c r="N60" s="9"/>
      <c r="O60" s="45"/>
      <c r="P60" s="9"/>
      <c r="Q60" s="45"/>
      <c r="R60" s="9"/>
    </row>
    <row r="61" spans="2:18" ht="17.25" thickBot="1" x14ac:dyDescent="0.3">
      <c r="B61" s="1" t="s">
        <v>25</v>
      </c>
      <c r="C61" s="2"/>
      <c r="D61" s="4"/>
      <c r="E61" s="2"/>
      <c r="F61" s="63">
        <v>0.03</v>
      </c>
      <c r="G61" s="2" t="s">
        <v>0</v>
      </c>
      <c r="H61" s="63">
        <v>0.75</v>
      </c>
      <c r="I61" s="2"/>
      <c r="J61" s="4"/>
      <c r="K61" s="2" t="s">
        <v>1</v>
      </c>
      <c r="L61" s="6">
        <f>F61*H61</f>
        <v>2.2499999999999999E-2</v>
      </c>
      <c r="M61" s="7" t="s">
        <v>0</v>
      </c>
      <c r="N61" s="69">
        <f>R59</f>
        <v>0</v>
      </c>
      <c r="O61" s="44" t="s">
        <v>1</v>
      </c>
      <c r="P61" s="69">
        <f>L61*N61</f>
        <v>0</v>
      </c>
      <c r="Q61" s="46" t="s">
        <v>4</v>
      </c>
      <c r="R61" s="69">
        <f>N61-P61</f>
        <v>0</v>
      </c>
    </row>
    <row r="62" spans="2:18" ht="16.5" x14ac:dyDescent="0.25">
      <c r="B62" s="71" t="s">
        <v>58</v>
      </c>
      <c r="C62" s="2"/>
      <c r="D62" s="4"/>
      <c r="E62" s="2"/>
      <c r="F62" s="96"/>
      <c r="G62" s="2"/>
      <c r="H62" s="96"/>
      <c r="I62" s="2"/>
      <c r="J62" s="4"/>
      <c r="K62" s="2"/>
      <c r="L62" s="6"/>
      <c r="M62" s="7"/>
      <c r="N62" s="69"/>
      <c r="O62" s="44"/>
      <c r="P62" s="69"/>
      <c r="Q62" s="46"/>
      <c r="R62" s="69"/>
    </row>
    <row r="63" spans="2:18" ht="11.25" customHeight="1" x14ac:dyDescent="0.25">
      <c r="B63" s="42"/>
      <c r="C63" s="35"/>
      <c r="D63" s="33"/>
      <c r="E63" s="35"/>
      <c r="F63" s="33"/>
      <c r="G63" s="35"/>
      <c r="H63" s="33"/>
      <c r="I63" s="35"/>
      <c r="J63" s="33"/>
      <c r="K63" s="33"/>
      <c r="L63" s="33"/>
      <c r="M63" s="7"/>
      <c r="N63" s="69"/>
      <c r="O63" s="44"/>
      <c r="P63" s="69"/>
      <c r="Q63" s="46"/>
      <c r="R63" s="69"/>
    </row>
    <row r="64" spans="2:18" x14ac:dyDescent="0.25">
      <c r="B64" s="42"/>
      <c r="C64" s="35"/>
      <c r="D64" s="33"/>
      <c r="E64" s="35"/>
      <c r="F64" s="33"/>
      <c r="G64" s="35"/>
      <c r="H64" s="33"/>
      <c r="I64" s="35"/>
      <c r="J64" s="33"/>
      <c r="K64" s="33"/>
      <c r="L64" s="33"/>
      <c r="M64" s="35"/>
      <c r="N64" s="20"/>
      <c r="O64" s="36"/>
      <c r="P64" s="20"/>
      <c r="Q64" s="36"/>
      <c r="R64" s="20"/>
    </row>
    <row r="65" spans="2:19" ht="33" customHeight="1" x14ac:dyDescent="0.25">
      <c r="B65" s="41" t="s">
        <v>80</v>
      </c>
      <c r="C65" s="2"/>
      <c r="D65" s="4"/>
      <c r="E65" s="2"/>
      <c r="F65" s="4"/>
      <c r="G65" s="2"/>
      <c r="H65" s="4"/>
      <c r="I65" s="2"/>
      <c r="J65" s="4"/>
      <c r="K65" s="4"/>
      <c r="L65" s="4"/>
      <c r="M65" s="7"/>
      <c r="N65" s="4"/>
      <c r="O65" s="25"/>
      <c r="P65" s="4"/>
      <c r="Q65" s="25"/>
      <c r="R65" s="4"/>
      <c r="S65" s="122"/>
    </row>
    <row r="66" spans="2:19" ht="90" x14ac:dyDescent="0.25">
      <c r="B66" s="1" t="s">
        <v>16</v>
      </c>
      <c r="C66" s="2" t="s">
        <v>1</v>
      </c>
      <c r="D66" s="13" t="s">
        <v>42</v>
      </c>
      <c r="E66" s="2" t="s">
        <v>0</v>
      </c>
      <c r="F66" s="13" t="s">
        <v>39</v>
      </c>
      <c r="G66" s="2" t="s">
        <v>0</v>
      </c>
      <c r="H66" s="13" t="s">
        <v>40</v>
      </c>
      <c r="I66" s="2" t="s">
        <v>0</v>
      </c>
      <c r="J66" s="13" t="s">
        <v>38</v>
      </c>
      <c r="K66" s="4"/>
      <c r="L66" s="4"/>
      <c r="M66" s="7"/>
      <c r="N66" s="4"/>
      <c r="O66" s="25"/>
      <c r="P66" s="4"/>
      <c r="Q66" s="25"/>
      <c r="R66" s="4"/>
    </row>
    <row r="67" spans="2:19" s="33" customFormat="1" ht="15.75" thickBot="1" x14ac:dyDescent="0.3">
      <c r="B67" s="4"/>
      <c r="C67" s="2"/>
      <c r="D67" s="4"/>
      <c r="E67" s="2"/>
      <c r="F67" s="4"/>
      <c r="G67" s="2"/>
      <c r="H67" s="4"/>
      <c r="I67" s="2"/>
      <c r="J67" s="4"/>
      <c r="K67" s="4"/>
      <c r="L67" s="4"/>
      <c r="M67" s="7"/>
      <c r="N67" s="4"/>
      <c r="O67" s="25"/>
      <c r="P67" s="4"/>
      <c r="Q67" s="25"/>
      <c r="R67" s="4"/>
    </row>
    <row r="68" spans="2:19" ht="24" customHeight="1" thickBot="1" x14ac:dyDescent="0.3">
      <c r="B68" s="1" t="s">
        <v>34</v>
      </c>
      <c r="C68" s="2" t="s">
        <v>1</v>
      </c>
      <c r="D68" s="96">
        <f>D57</f>
        <v>1</v>
      </c>
      <c r="E68" s="2" t="s">
        <v>0</v>
      </c>
      <c r="F68" s="63">
        <v>0.3</v>
      </c>
      <c r="G68" s="2" t="s">
        <v>0</v>
      </c>
      <c r="H68" s="63">
        <v>0.41</v>
      </c>
      <c r="I68" s="2" t="s">
        <v>0</v>
      </c>
      <c r="J68" s="24">
        <f>H48</f>
        <v>0.76</v>
      </c>
      <c r="K68" s="2" t="s">
        <v>1</v>
      </c>
      <c r="L68" s="6">
        <f>D68*F68*H68*J68</f>
        <v>9.3479999999999994E-2</v>
      </c>
      <c r="M68" s="7" t="s">
        <v>0</v>
      </c>
      <c r="N68" s="69">
        <f>R61</f>
        <v>0</v>
      </c>
      <c r="O68" s="44" t="s">
        <v>1</v>
      </c>
      <c r="P68" s="69">
        <f>N68*L68</f>
        <v>0</v>
      </c>
      <c r="Q68" s="46" t="s">
        <v>4</v>
      </c>
      <c r="R68" s="69">
        <f>N68-P68</f>
        <v>0</v>
      </c>
    </row>
    <row r="69" spans="2:19" ht="16.5" x14ac:dyDescent="0.25">
      <c r="B69" s="1"/>
      <c r="C69" s="2"/>
      <c r="D69" s="5"/>
      <c r="E69" s="2"/>
      <c r="F69" s="2"/>
      <c r="G69" s="2"/>
      <c r="H69" s="24"/>
      <c r="I69" s="2"/>
      <c r="J69" s="24"/>
      <c r="K69" s="2"/>
      <c r="L69" s="6"/>
      <c r="M69" s="7"/>
      <c r="N69" s="69"/>
      <c r="O69" s="44"/>
      <c r="P69" s="69"/>
      <c r="Q69" s="46"/>
      <c r="R69" s="69"/>
    </row>
    <row r="70" spans="2:19" ht="11.25" customHeight="1" x14ac:dyDescent="0.25">
      <c r="B70" s="124"/>
      <c r="D70" s="95"/>
      <c r="F70" s="7"/>
      <c r="H70" s="125"/>
      <c r="J70" s="125"/>
      <c r="K70" s="7"/>
      <c r="L70" s="126"/>
      <c r="M70" s="7"/>
      <c r="N70" s="127"/>
      <c r="O70" s="51"/>
      <c r="P70" s="127"/>
      <c r="Q70" s="128"/>
      <c r="R70" s="127"/>
    </row>
    <row r="71" spans="2:19" ht="18.75" x14ac:dyDescent="0.25">
      <c r="B71" s="97" t="s">
        <v>74</v>
      </c>
      <c r="C71" s="2"/>
      <c r="D71" s="4"/>
      <c r="E71" s="2"/>
      <c r="F71" s="96"/>
      <c r="G71" s="2"/>
      <c r="H71" s="96"/>
      <c r="I71" s="2"/>
      <c r="J71" s="4"/>
      <c r="K71" s="2"/>
      <c r="L71" s="6"/>
      <c r="M71" s="7"/>
      <c r="N71" s="69"/>
      <c r="O71" s="44"/>
      <c r="P71" s="69"/>
      <c r="Q71" s="46"/>
      <c r="R71" s="69"/>
    </row>
    <row r="72" spans="2:19" ht="75.75" thickBot="1" x14ac:dyDescent="0.3">
      <c r="B72" s="97"/>
      <c r="C72" s="2"/>
      <c r="D72" s="4"/>
      <c r="E72" s="2"/>
      <c r="F72" s="98" t="s">
        <v>79</v>
      </c>
      <c r="G72" s="2" t="s">
        <v>0</v>
      </c>
      <c r="H72" s="13" t="s">
        <v>61</v>
      </c>
      <c r="I72" s="2"/>
      <c r="J72" s="4"/>
      <c r="K72" s="2"/>
      <c r="L72" s="6"/>
      <c r="M72" s="7"/>
      <c r="N72" s="69"/>
      <c r="O72" s="44"/>
      <c r="P72" s="69"/>
      <c r="Q72" s="46"/>
      <c r="R72" s="69"/>
    </row>
    <row r="73" spans="2:19" ht="17.25" thickBot="1" x14ac:dyDescent="0.3">
      <c r="B73" s="1" t="s">
        <v>78</v>
      </c>
      <c r="C73" s="2"/>
      <c r="D73" s="4"/>
      <c r="E73" s="2"/>
      <c r="F73" s="63">
        <v>0.1</v>
      </c>
      <c r="G73" s="2" t="s">
        <v>0</v>
      </c>
      <c r="H73" s="63">
        <v>0.75</v>
      </c>
      <c r="I73" s="2"/>
      <c r="J73" s="4"/>
      <c r="K73" s="2" t="s">
        <v>1</v>
      </c>
      <c r="L73" s="6">
        <f>F73*H73</f>
        <v>7.5000000000000011E-2</v>
      </c>
      <c r="M73" s="7" t="s">
        <v>0</v>
      </c>
      <c r="N73" s="93">
        <f>Sheet4!G5-Sheet4!G10</f>
        <v>0</v>
      </c>
      <c r="O73" s="44" t="s">
        <v>1</v>
      </c>
      <c r="P73" s="69">
        <f>L73*N73</f>
        <v>0</v>
      </c>
      <c r="Q73" s="46" t="s">
        <v>4</v>
      </c>
      <c r="R73" s="69">
        <f>N73-P73</f>
        <v>0</v>
      </c>
    </row>
    <row r="74" spans="2:19" x14ac:dyDescent="0.25">
      <c r="B74" s="71" t="s">
        <v>77</v>
      </c>
      <c r="C74" s="2"/>
      <c r="D74" s="4"/>
      <c r="E74" s="2"/>
      <c r="F74" s="4"/>
      <c r="G74" s="2"/>
      <c r="H74" s="4"/>
      <c r="I74" s="2"/>
      <c r="J74" s="4"/>
      <c r="K74" s="4"/>
      <c r="L74" s="4"/>
      <c r="M74" s="7"/>
      <c r="N74" s="4"/>
      <c r="O74" s="25"/>
      <c r="P74" s="4"/>
      <c r="Q74" s="25"/>
      <c r="R74" s="4"/>
    </row>
    <row r="75" spans="2:19" ht="11.25" customHeight="1" x14ac:dyDescent="0.25">
      <c r="B75" s="129"/>
      <c r="M75" s="7"/>
    </row>
    <row r="76" spans="2:19" x14ac:dyDescent="0.25">
      <c r="B76" s="4"/>
      <c r="C76" s="2"/>
      <c r="D76" s="4"/>
      <c r="E76" s="2"/>
      <c r="F76" s="4"/>
      <c r="G76" s="2"/>
      <c r="H76" s="4"/>
      <c r="I76" s="2"/>
      <c r="J76" s="4"/>
      <c r="K76" s="4"/>
      <c r="L76" s="4"/>
      <c r="M76" s="7"/>
      <c r="N76" s="185" t="str">
        <f>N52</f>
        <v>Vahingot ennen toimenpiteitä</v>
      </c>
      <c r="O76" s="55"/>
      <c r="P76" s="185" t="str">
        <f>P52</f>
        <v>Välteyt vahingot</v>
      </c>
      <c r="Q76" s="55"/>
      <c r="R76" s="185" t="str">
        <f>R52</f>
        <v>Vahingot toimenpiteiden toteuttamisen jälkeen</v>
      </c>
    </row>
    <row r="77" spans="2:19" x14ac:dyDescent="0.25">
      <c r="B77" s="4"/>
      <c r="C77" s="2"/>
      <c r="D77" s="4"/>
      <c r="E77" s="2"/>
      <c r="F77" s="4"/>
      <c r="G77" s="2"/>
      <c r="H77" s="4"/>
      <c r="I77" s="2"/>
      <c r="J77" s="4"/>
      <c r="K77" s="4"/>
      <c r="L77" s="4"/>
      <c r="M77" s="7"/>
      <c r="N77" s="185"/>
      <c r="O77" s="55"/>
      <c r="P77" s="185"/>
      <c r="Q77" s="55"/>
      <c r="R77" s="185"/>
    </row>
    <row r="78" spans="2:19" ht="20.100000000000001" customHeight="1" x14ac:dyDescent="0.25">
      <c r="H78" s="81"/>
      <c r="I78" s="82"/>
      <c r="J78" s="81"/>
      <c r="K78" s="81"/>
      <c r="L78" s="83" t="s">
        <v>75</v>
      </c>
      <c r="N78" s="84">
        <f>Sheet4!G5</f>
        <v>0</v>
      </c>
      <c r="P78" s="84">
        <f>P59+P61+P73+P68</f>
        <v>0</v>
      </c>
      <c r="R78" s="84">
        <f>N78-P78</f>
        <v>0</v>
      </c>
    </row>
    <row r="79" spans="2:19" x14ac:dyDescent="0.25"/>
    <row r="80" spans="2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spans="3:3" hidden="1" x14ac:dyDescent="0.25"/>
    <row r="738" spans="3:3" hidden="1" x14ac:dyDescent="0.25"/>
    <row r="739" spans="3:3" hidden="1" x14ac:dyDescent="0.25"/>
    <row r="740" spans="3:3" hidden="1" x14ac:dyDescent="0.25"/>
    <row r="741" spans="3:3" hidden="1" x14ac:dyDescent="0.25"/>
    <row r="742" spans="3:3" hidden="1" x14ac:dyDescent="0.25"/>
    <row r="743" spans="3:3" hidden="1" x14ac:dyDescent="0.25"/>
    <row r="744" spans="3:3" hidden="1" x14ac:dyDescent="0.25"/>
    <row r="745" spans="3:3" hidden="1" x14ac:dyDescent="0.25"/>
    <row r="746" spans="3:3" hidden="1" x14ac:dyDescent="0.25"/>
    <row r="747" spans="3:3" hidden="1" x14ac:dyDescent="0.25">
      <c r="C747" s="52">
        <v>0.69791666666666663</v>
      </c>
    </row>
    <row r="748" spans="3:3" hidden="1" x14ac:dyDescent="0.25"/>
    <row r="749" spans="3:3" hidden="1" x14ac:dyDescent="0.25"/>
    <row r="750" spans="3:3" hidden="1" x14ac:dyDescent="0.25"/>
    <row r="751" spans="3:3" hidden="1" x14ac:dyDescent="0.25"/>
    <row r="752" spans="3:3" x14ac:dyDescent="0.25"/>
  </sheetData>
  <sheetProtection selectLockedCells="1"/>
  <mergeCells count="6">
    <mergeCell ref="F10:F11"/>
    <mergeCell ref="K10:R13"/>
    <mergeCell ref="L9:R9"/>
    <mergeCell ref="N76:N77"/>
    <mergeCell ref="P76:P77"/>
    <mergeCell ref="R76:R77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A1:U90"/>
  <sheetViews>
    <sheetView workbookViewId="0">
      <selection activeCell="L20" sqref="L20"/>
    </sheetView>
  </sheetViews>
  <sheetFormatPr defaultColWidth="0" defaultRowHeight="15" customHeight="1" zeroHeight="1" x14ac:dyDescent="0.25"/>
  <cols>
    <col min="1" max="1" width="4.85546875" style="47" customWidth="1"/>
    <col min="2" max="2" width="47.42578125" style="47" customWidth="1"/>
    <col min="3" max="3" width="4.7109375" style="47" customWidth="1"/>
    <col min="4" max="4" width="17.28515625" style="47" customWidth="1"/>
    <col min="5" max="5" width="4.7109375" style="47" customWidth="1"/>
    <col min="6" max="6" width="18.5703125" style="47" customWidth="1"/>
    <col min="7" max="7" width="4.7109375" style="47" customWidth="1"/>
    <col min="8" max="8" width="14.7109375" style="47" customWidth="1"/>
    <col min="9" max="9" width="14" style="47" customWidth="1"/>
    <col min="10" max="11" width="3.7109375" style="47" customWidth="1"/>
    <col min="12" max="14" width="14.7109375" style="47" customWidth="1"/>
    <col min="15" max="15" width="21.85546875" style="47" customWidth="1"/>
    <col min="16" max="16" width="4.85546875" style="47" customWidth="1"/>
    <col min="17" max="21" width="14.7109375" style="47" hidden="1" customWidth="1"/>
    <col min="22" max="16384" width="9.140625" style="47" hidden="1"/>
  </cols>
  <sheetData>
    <row r="1" spans="1:21" customFormat="1" ht="15" customHeight="1" x14ac:dyDescent="0.25">
      <c r="A1" s="47"/>
      <c r="B1" s="4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8"/>
      <c r="U1" s="56"/>
    </row>
    <row r="2" spans="1:21" customFormat="1" ht="36" x14ac:dyDescent="0.55000000000000004">
      <c r="A2" s="47"/>
      <c r="B2" s="75" t="s">
        <v>7</v>
      </c>
      <c r="C2" s="66"/>
      <c r="D2" s="66"/>
      <c r="E2" s="66"/>
      <c r="F2" s="66"/>
      <c r="G2" s="66"/>
      <c r="H2" s="66"/>
      <c r="I2" s="66"/>
      <c r="J2" s="66"/>
      <c r="K2" s="57"/>
      <c r="L2" s="57"/>
      <c r="M2" s="57"/>
      <c r="N2" s="57"/>
      <c r="O2" s="58"/>
      <c r="P2" s="57"/>
      <c r="Q2" s="59"/>
      <c r="R2" s="59"/>
      <c r="S2" s="67"/>
      <c r="T2" s="68"/>
      <c r="U2" s="56"/>
    </row>
    <row r="3" spans="1:21" customFormat="1" ht="26.25" customHeight="1" x14ac:dyDescent="0.25">
      <c r="A3" s="47"/>
      <c r="B3" s="130" t="s">
        <v>89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8"/>
      <c r="U3" s="56"/>
    </row>
    <row r="4" spans="1:21" customFormat="1" ht="15" customHeight="1" x14ac:dyDescent="0.25">
      <c r="A4" s="47"/>
      <c r="B4" s="76" t="s">
        <v>82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60"/>
      <c r="U4" s="56"/>
    </row>
    <row r="5" spans="1:21" s="79" customFormat="1" ht="6.95" customHeight="1" x14ac:dyDescent="0.25">
      <c r="U5" s="92"/>
    </row>
    <row r="6" spans="1:21" ht="15" customHeight="1" x14ac:dyDescent="0.25"/>
    <row r="7" spans="1:21" ht="26.25" x14ac:dyDescent="0.25">
      <c r="B7" s="77" t="s">
        <v>100</v>
      </c>
      <c r="C7" s="7"/>
      <c r="D7" s="8"/>
      <c r="E7" s="7"/>
      <c r="F7" s="8"/>
      <c r="G7" s="7"/>
      <c r="H7" s="8"/>
      <c r="I7" s="7"/>
      <c r="K7" s="131"/>
      <c r="L7" s="198"/>
      <c r="M7" s="198"/>
      <c r="N7" s="199"/>
      <c r="O7" s="199"/>
    </row>
    <row r="8" spans="1:21" ht="11.25" customHeight="1" x14ac:dyDescent="0.25">
      <c r="B8" s="34"/>
      <c r="C8" s="35"/>
      <c r="D8" s="33"/>
      <c r="E8" s="35"/>
      <c r="F8" s="33"/>
      <c r="G8" s="35"/>
      <c r="H8" s="33"/>
      <c r="I8" s="35"/>
      <c r="K8" s="73"/>
      <c r="L8" s="74"/>
      <c r="M8" s="74"/>
      <c r="N8" s="74"/>
      <c r="O8" s="74"/>
    </row>
    <row r="9" spans="1:21" ht="15" customHeight="1" x14ac:dyDescent="0.25">
      <c r="B9" s="41" t="s">
        <v>90</v>
      </c>
      <c r="C9" s="22"/>
      <c r="D9" s="29"/>
      <c r="E9" s="22"/>
      <c r="F9" s="29"/>
      <c r="G9" s="22"/>
      <c r="H9" s="29"/>
      <c r="I9" s="22"/>
      <c r="K9" s="78" t="s">
        <v>6</v>
      </c>
      <c r="L9" s="177" t="s">
        <v>88</v>
      </c>
      <c r="M9" s="177"/>
      <c r="N9" s="177"/>
      <c r="O9" s="177"/>
    </row>
    <row r="10" spans="1:21" ht="15" customHeight="1" x14ac:dyDescent="0.25">
      <c r="B10" s="4"/>
      <c r="C10" s="2"/>
      <c r="D10" s="10"/>
      <c r="E10" s="10"/>
      <c r="F10" s="133"/>
      <c r="G10" s="10"/>
      <c r="H10" s="10" t="s">
        <v>13</v>
      </c>
      <c r="I10" s="2"/>
      <c r="K10" s="176" t="s">
        <v>168</v>
      </c>
      <c r="L10" s="176"/>
      <c r="M10" s="176"/>
      <c r="N10" s="176"/>
      <c r="O10" s="176"/>
    </row>
    <row r="11" spans="1:21" ht="15.75" customHeight="1" thickBot="1" x14ac:dyDescent="0.3">
      <c r="B11" s="4"/>
      <c r="C11" s="2"/>
      <c r="D11" s="10" t="s">
        <v>91</v>
      </c>
      <c r="E11" s="2"/>
      <c r="F11" s="133" t="s">
        <v>92</v>
      </c>
      <c r="G11" s="2"/>
      <c r="H11" s="2"/>
      <c r="I11" s="2"/>
      <c r="K11" s="176"/>
      <c r="L11" s="176"/>
      <c r="M11" s="176"/>
      <c r="N11" s="176"/>
      <c r="O11" s="176"/>
    </row>
    <row r="12" spans="1:21" ht="31.5" customHeight="1" thickBot="1" x14ac:dyDescent="0.3">
      <c r="B12" s="132" t="s">
        <v>96</v>
      </c>
      <c r="C12" s="2"/>
      <c r="D12" s="70"/>
      <c r="E12" s="2" t="s">
        <v>2</v>
      </c>
      <c r="F12" s="70"/>
      <c r="G12" s="2" t="s">
        <v>1</v>
      </c>
      <c r="H12" s="69">
        <f>D12+F12</f>
        <v>0</v>
      </c>
      <c r="I12" s="2"/>
      <c r="K12" s="176"/>
      <c r="L12" s="176"/>
      <c r="M12" s="176"/>
      <c r="N12" s="176"/>
      <c r="O12" s="176"/>
    </row>
    <row r="13" spans="1:21" ht="22.5" customHeight="1" thickBot="1" x14ac:dyDescent="0.3">
      <c r="B13" s="1"/>
      <c r="C13" s="2"/>
      <c r="D13" s="134" t="s">
        <v>93</v>
      </c>
      <c r="E13" s="2"/>
      <c r="F13" s="134" t="s">
        <v>94</v>
      </c>
      <c r="G13" s="2"/>
      <c r="H13" s="2"/>
      <c r="I13" s="2"/>
      <c r="K13" s="53"/>
      <c r="L13" s="53"/>
      <c r="M13" s="53"/>
    </row>
    <row r="14" spans="1:21" ht="30.75" customHeight="1" thickBot="1" x14ac:dyDescent="0.3">
      <c r="B14" s="132" t="s">
        <v>95</v>
      </c>
      <c r="C14" s="2"/>
      <c r="D14" s="70"/>
      <c r="E14" s="2" t="s">
        <v>2</v>
      </c>
      <c r="F14" s="70"/>
      <c r="G14" s="2" t="s">
        <v>1</v>
      </c>
      <c r="H14" s="69">
        <f>D14+F14</f>
        <v>0</v>
      </c>
      <c r="I14" s="2"/>
      <c r="K14" s="131"/>
      <c r="L14" s="198"/>
      <c r="M14" s="198"/>
      <c r="N14" s="198"/>
      <c r="O14" s="198"/>
    </row>
    <row r="15" spans="1:21" ht="15" customHeight="1" x14ac:dyDescent="0.25">
      <c r="B15" s="4"/>
      <c r="C15" s="2"/>
      <c r="D15" s="4"/>
      <c r="E15" s="2"/>
      <c r="F15" s="4"/>
      <c r="G15" s="2"/>
      <c r="H15" s="4"/>
      <c r="I15" s="2"/>
      <c r="K15" s="73"/>
      <c r="L15" s="73"/>
      <c r="M15" s="73"/>
      <c r="N15" s="73"/>
      <c r="O15" s="73"/>
    </row>
    <row r="16" spans="1:21" ht="15" customHeight="1" x14ac:dyDescent="0.25">
      <c r="B16" s="8"/>
      <c r="C16" s="7"/>
      <c r="D16" s="8"/>
      <c r="E16" s="7"/>
      <c r="F16" s="8"/>
      <c r="G16" s="7"/>
      <c r="H16" s="8"/>
      <c r="I16" s="7"/>
      <c r="K16" s="73"/>
      <c r="L16" s="73"/>
      <c r="M16" s="73"/>
      <c r="N16" s="73"/>
      <c r="O16" s="73"/>
    </row>
    <row r="17" spans="2:15" ht="15" customHeight="1" x14ac:dyDescent="0.25">
      <c r="B17" s="41" t="s">
        <v>115</v>
      </c>
      <c r="C17" s="2"/>
      <c r="D17" s="4"/>
      <c r="E17" s="2"/>
      <c r="F17" s="4"/>
      <c r="G17" s="2"/>
      <c r="H17" s="4"/>
      <c r="I17" s="2"/>
      <c r="K17" s="73"/>
      <c r="L17" s="73"/>
      <c r="M17" s="73"/>
      <c r="N17" s="73"/>
      <c r="O17" s="73"/>
    </row>
    <row r="18" spans="2:15" ht="15" customHeight="1" thickBot="1" x14ac:dyDescent="0.3">
      <c r="B18" s="4"/>
      <c r="C18" s="2"/>
      <c r="D18" s="4"/>
      <c r="E18" s="2"/>
      <c r="F18" s="4"/>
      <c r="G18" s="2"/>
      <c r="H18" s="4"/>
      <c r="I18" s="2"/>
      <c r="K18" s="73"/>
      <c r="L18" s="73"/>
      <c r="M18" s="73"/>
      <c r="N18" s="73"/>
      <c r="O18" s="73"/>
    </row>
    <row r="19" spans="2:15" ht="15" customHeight="1" thickBot="1" x14ac:dyDescent="0.3">
      <c r="B19" s="11" t="s">
        <v>97</v>
      </c>
      <c r="C19" s="2"/>
      <c r="D19" s="135">
        <v>50</v>
      </c>
      <c r="E19" s="2"/>
      <c r="F19" s="4"/>
      <c r="G19" s="2"/>
      <c r="H19" s="4"/>
      <c r="I19" s="2"/>
      <c r="K19" s="73"/>
      <c r="L19" s="73"/>
      <c r="M19" s="73"/>
      <c r="N19" s="73"/>
      <c r="O19" s="73"/>
    </row>
    <row r="20" spans="2:15" ht="15" customHeight="1" thickBot="1" x14ac:dyDescent="0.3">
      <c r="B20" s="11"/>
      <c r="C20" s="2"/>
      <c r="D20" s="2"/>
      <c r="E20" s="2"/>
      <c r="F20" s="4" t="s">
        <v>99</v>
      </c>
      <c r="G20" s="2" t="s">
        <v>1</v>
      </c>
      <c r="H20" s="144">
        <f>(POWER((1+D21/100),D19)-1)/(D21/100*POWER((1+D21/100),D19))</f>
        <v>23.455617870621253</v>
      </c>
      <c r="I20" s="2"/>
      <c r="K20" s="73"/>
      <c r="L20" s="73"/>
      <c r="M20" s="73"/>
      <c r="N20" s="73"/>
      <c r="O20" s="73"/>
    </row>
    <row r="21" spans="2:15" ht="15" customHeight="1" thickBot="1" x14ac:dyDescent="0.3">
      <c r="B21" s="11" t="s">
        <v>98</v>
      </c>
      <c r="C21" s="2"/>
      <c r="D21" s="136">
        <v>3.5</v>
      </c>
      <c r="E21" s="2"/>
      <c r="F21" s="4"/>
      <c r="G21" s="2"/>
      <c r="H21" s="4"/>
      <c r="I21" s="2"/>
      <c r="K21" s="73"/>
      <c r="L21" s="73"/>
      <c r="M21" s="73"/>
      <c r="N21" s="73"/>
      <c r="O21" s="73"/>
    </row>
    <row r="22" spans="2:15" ht="15" customHeight="1" x14ac:dyDescent="0.25">
      <c r="B22" s="48"/>
      <c r="C22" s="2"/>
      <c r="D22" s="4"/>
      <c r="E22" s="2"/>
      <c r="F22" s="4"/>
      <c r="G22" s="2"/>
      <c r="H22" s="4"/>
      <c r="I22" s="2"/>
      <c r="K22" s="73"/>
      <c r="L22" s="73"/>
      <c r="M22" s="73"/>
      <c r="N22" s="73"/>
      <c r="O22" s="73"/>
    </row>
    <row r="23" spans="2:15" ht="15" customHeight="1" x14ac:dyDescent="0.25">
      <c r="B23" s="8"/>
      <c r="C23" s="7"/>
      <c r="D23" s="8"/>
      <c r="E23" s="7"/>
      <c r="F23" s="8"/>
      <c r="G23" s="7"/>
      <c r="H23" s="8"/>
      <c r="I23" s="7"/>
      <c r="K23" s="73"/>
      <c r="L23" s="73"/>
      <c r="M23" s="73"/>
      <c r="N23" s="73"/>
      <c r="O23" s="73"/>
    </row>
    <row r="24" spans="2:15" ht="15" customHeight="1" x14ac:dyDescent="0.25">
      <c r="B24" s="41" t="s">
        <v>11</v>
      </c>
      <c r="C24" s="2"/>
      <c r="D24" s="4"/>
      <c r="E24" s="2"/>
      <c r="F24" s="4"/>
      <c r="G24" s="2"/>
      <c r="H24" s="4"/>
      <c r="I24" s="2"/>
      <c r="K24" s="73"/>
      <c r="L24" s="73"/>
      <c r="M24" s="73"/>
      <c r="N24" s="73"/>
      <c r="O24" s="73"/>
    </row>
    <row r="25" spans="2:15" ht="15" customHeight="1" thickBot="1" x14ac:dyDescent="0.3">
      <c r="B25" s="41"/>
      <c r="C25" s="2"/>
      <c r="D25" s="4"/>
      <c r="E25" s="2"/>
      <c r="F25" s="4"/>
      <c r="G25" s="2"/>
      <c r="H25" s="4"/>
      <c r="I25" s="2"/>
      <c r="K25" s="73"/>
      <c r="L25" s="73"/>
      <c r="M25" s="73"/>
      <c r="N25" s="73"/>
      <c r="O25" s="73"/>
    </row>
    <row r="26" spans="2:15" ht="15" customHeight="1" thickBot="1" x14ac:dyDescent="0.3">
      <c r="B26" s="196" t="s">
        <v>118</v>
      </c>
      <c r="C26" s="197"/>
      <c r="D26" s="70"/>
      <c r="E26" s="2"/>
      <c r="F26" s="4"/>
      <c r="G26" s="2"/>
      <c r="H26" s="4"/>
      <c r="I26" s="2"/>
      <c r="K26" s="73"/>
      <c r="L26" s="73"/>
      <c r="M26" s="73"/>
      <c r="N26" s="73"/>
      <c r="O26" s="73"/>
    </row>
    <row r="27" spans="2:15" ht="30" customHeight="1" thickBot="1" x14ac:dyDescent="0.3">
      <c r="B27" s="143" t="s">
        <v>119</v>
      </c>
      <c r="C27" s="2"/>
      <c r="D27" s="166" t="s">
        <v>161</v>
      </c>
      <c r="E27" s="2"/>
      <c r="F27" s="166" t="s">
        <v>162</v>
      </c>
      <c r="G27" s="48"/>
      <c r="H27" s="167" t="s">
        <v>163</v>
      </c>
      <c r="I27" s="2"/>
      <c r="K27" s="73"/>
      <c r="L27" s="73"/>
      <c r="M27" s="73"/>
      <c r="N27" s="73"/>
      <c r="O27" s="73"/>
    </row>
    <row r="28" spans="2:15" ht="15" customHeight="1" thickBot="1" x14ac:dyDescent="0.3">
      <c r="B28" s="196" t="s">
        <v>117</v>
      </c>
      <c r="C28" s="197"/>
      <c r="D28" s="174" t="s">
        <v>130</v>
      </c>
      <c r="E28" s="2"/>
      <c r="F28" s="135" t="s">
        <v>158</v>
      </c>
      <c r="G28" s="48"/>
      <c r="H28" s="170">
        <f>IF(VLOOKUP(D28,Sheet4!AC5:AV30,HLOOKUP(F28,Sheet4!AD2:AK3,2,FALSE),FALSE)&gt;0,ROUND(VLOOKUP(D28,Sheet4!AC5:AV30,HLOOKUP(F28,Sheet4!AD2:AK3,2,FALSE),FALSE)*1000000,-4),0)</f>
        <v>210000</v>
      </c>
      <c r="I28" s="2"/>
      <c r="K28" s="73"/>
      <c r="L28" s="73"/>
      <c r="M28" s="73"/>
      <c r="N28" s="73"/>
      <c r="O28" s="73"/>
    </row>
    <row r="29" spans="2:15" ht="30.75" customHeight="1" x14ac:dyDescent="0.25">
      <c r="B29" s="143" t="s">
        <v>120</v>
      </c>
      <c r="C29" s="2"/>
      <c r="D29" s="146"/>
      <c r="E29" s="2"/>
      <c r="F29" s="4"/>
      <c r="G29" s="2"/>
      <c r="H29" s="4"/>
      <c r="I29" s="2"/>
      <c r="K29" s="73"/>
      <c r="L29" s="73"/>
      <c r="M29" s="73"/>
      <c r="N29" s="73"/>
      <c r="O29" s="73"/>
    </row>
    <row r="30" spans="2:15" ht="15" customHeight="1" x14ac:dyDescent="0.25">
      <c r="B30" s="196" t="s">
        <v>113</v>
      </c>
      <c r="C30" s="190"/>
      <c r="D30" s="146">
        <f>('hyöty-vahinkoarviot'!$D$37+'hyöty-vahinkoarviot'!$D$55)/D19</f>
        <v>0</v>
      </c>
      <c r="E30" s="2"/>
      <c r="F30" s="4"/>
      <c r="G30" s="2"/>
      <c r="H30" s="48"/>
      <c r="I30" s="2"/>
      <c r="K30" s="73"/>
      <c r="L30" s="73"/>
      <c r="M30" s="73"/>
      <c r="N30" s="73"/>
      <c r="O30" s="73"/>
    </row>
    <row r="31" spans="2:15" ht="30" customHeight="1" x14ac:dyDescent="0.25">
      <c r="B31" s="143" t="s">
        <v>111</v>
      </c>
      <c r="C31" s="2"/>
      <c r="D31" s="4"/>
      <c r="E31" s="2"/>
      <c r="F31" s="4"/>
      <c r="G31" s="2"/>
      <c r="H31" s="4"/>
      <c r="I31" s="2"/>
      <c r="K31" s="73"/>
      <c r="L31" s="73"/>
      <c r="M31" s="73"/>
      <c r="N31" s="73"/>
      <c r="O31" s="73"/>
    </row>
    <row r="32" spans="2:15" ht="15" customHeight="1" x14ac:dyDescent="0.25">
      <c r="B32" s="8"/>
      <c r="C32" s="7"/>
      <c r="D32" s="8"/>
      <c r="E32" s="7"/>
      <c r="F32" s="8"/>
      <c r="G32" s="7"/>
      <c r="H32" s="8"/>
      <c r="I32" s="7"/>
      <c r="K32" s="73"/>
      <c r="L32" s="73"/>
      <c r="M32" s="73"/>
      <c r="N32" s="73"/>
      <c r="O32" s="73"/>
    </row>
    <row r="33" spans="2:15" ht="15" customHeight="1" x14ac:dyDescent="0.25">
      <c r="B33" s="41" t="s">
        <v>101</v>
      </c>
      <c r="C33" s="48"/>
      <c r="D33" s="147"/>
      <c r="E33" s="147"/>
      <c r="F33" s="147"/>
      <c r="G33" s="147"/>
      <c r="H33" s="147"/>
      <c r="I33" s="147"/>
      <c r="J33" s="147"/>
      <c r="K33" s="148"/>
      <c r="L33" s="148"/>
      <c r="M33" s="148"/>
      <c r="N33" s="145"/>
      <c r="O33" s="145"/>
    </row>
    <row r="34" spans="2:15" ht="15" customHeight="1" x14ac:dyDescent="0.25">
      <c r="B34" s="48"/>
      <c r="C34" s="48"/>
      <c r="D34" s="194" t="s">
        <v>102</v>
      </c>
      <c r="E34" s="187"/>
      <c r="F34" s="187"/>
      <c r="G34" s="147"/>
      <c r="H34" s="194" t="s">
        <v>103</v>
      </c>
      <c r="I34" s="187"/>
      <c r="J34" s="187"/>
      <c r="K34" s="194" t="s">
        <v>104</v>
      </c>
      <c r="L34" s="187"/>
      <c r="M34" s="187"/>
      <c r="N34" s="41"/>
      <c r="O34" s="145"/>
    </row>
    <row r="35" spans="2:15" ht="45" customHeight="1" x14ac:dyDescent="0.25">
      <c r="B35" s="48"/>
      <c r="C35" s="48"/>
      <c r="D35" s="186" t="s">
        <v>105</v>
      </c>
      <c r="E35" s="187"/>
      <c r="F35" s="187"/>
      <c r="G35" s="48"/>
      <c r="H35" s="186" t="s">
        <v>106</v>
      </c>
      <c r="I35" s="195"/>
      <c r="J35" s="195"/>
      <c r="K35" s="186" t="s">
        <v>109</v>
      </c>
      <c r="L35" s="187"/>
      <c r="M35" s="187"/>
      <c r="N35" s="145"/>
      <c r="O35" s="145"/>
    </row>
    <row r="36" spans="2:15" ht="15" customHeight="1" x14ac:dyDescent="0.25">
      <c r="B36" s="11" t="s">
        <v>122</v>
      </c>
      <c r="C36" s="48"/>
      <c r="D36" s="188">
        <f>($D$26-$H$14)*$H$20-$H$12</f>
        <v>0</v>
      </c>
      <c r="E36" s="187"/>
      <c r="F36" s="187"/>
      <c r="G36" s="48"/>
      <c r="H36" s="189" t="e">
        <f>IF($D$26&lt;$H$14,"#ei voi laskea#",IF(($H$12/($D$26-$H$14))*$D$21/100&lt;1,LOG(1/(1-($H$12/($D$26-$H$14))*$D$21/100),(1+$D$21/100)),"#ei voi laskea#"))</f>
        <v>#DIV/0!</v>
      </c>
      <c r="I36" s="190"/>
      <c r="J36" s="190"/>
      <c r="K36" s="191" t="e">
        <f>VLOOKUP($D$19,Sheet4!$P$3:$R$302,3,FALSE)</f>
        <v>#NUM!</v>
      </c>
      <c r="L36" s="192"/>
      <c r="M36" s="192"/>
      <c r="N36" s="145"/>
      <c r="O36" s="145"/>
    </row>
    <row r="37" spans="2:15" ht="45" customHeight="1" x14ac:dyDescent="0.25">
      <c r="B37" s="48"/>
      <c r="C37" s="48"/>
      <c r="D37" s="186" t="str">
        <f>IF(D36&gt;0,"eli toimenpidettä voidaan pitää kannattavana","toimenpide ei ole nettonykyarvon perusteella kannattava")</f>
        <v>toimenpide ei ole nettonykyarvon perusteella kannattava</v>
      </c>
      <c r="E37" s="187"/>
      <c r="F37" s="187"/>
      <c r="G37" s="48"/>
      <c r="H37" s="186" t="e">
        <f>IF(H36="#ei voi laskea#","toimenpide ei ole kannattava","vuoden päästä")</f>
        <v>#DIV/0!</v>
      </c>
      <c r="I37" s="187"/>
      <c r="J37" s="187"/>
      <c r="K37" s="186" t="e">
        <f>IF(K36&gt;($D$21/100),"eli toimenpidettä voidaan pitää kannattavana","toimenpide ei ole sisäisen korkokannan perusteella kannattava")</f>
        <v>#NUM!</v>
      </c>
      <c r="L37" s="187"/>
      <c r="M37" s="187"/>
      <c r="N37" s="145"/>
      <c r="O37" s="145"/>
    </row>
    <row r="38" spans="2:15" ht="15" customHeight="1" x14ac:dyDescent="0.25">
      <c r="B38" s="11" t="s">
        <v>121</v>
      </c>
      <c r="C38" s="48"/>
      <c r="D38" s="188">
        <f>($H$28-$H$14)*$H$20-$H$12</f>
        <v>4925679.7528304635</v>
      </c>
      <c r="E38" s="187"/>
      <c r="F38" s="187"/>
      <c r="G38" s="48"/>
      <c r="H38" s="189">
        <f>IF($H$28&lt;$H$14,"#ei voi laskea#",IF(($H$12/($H$28-$H$14))*$D$21/100&lt;1,LOG(1/(1-($H$12/($H$28-$H$14))*$D$21/100),(1+$D$21/100)),"#ei voi laskea#"))</f>
        <v>0</v>
      </c>
      <c r="I38" s="190"/>
      <c r="J38" s="190"/>
      <c r="K38" s="191">
        <f>VLOOKUP($D$19,Sheet4!$S$3:$U$302,3,FALSE)</f>
        <v>209999.99999347681</v>
      </c>
      <c r="L38" s="192"/>
      <c r="M38" s="192"/>
      <c r="N38" s="145"/>
      <c r="O38" s="145"/>
    </row>
    <row r="39" spans="2:15" ht="45" customHeight="1" x14ac:dyDescent="0.25">
      <c r="B39" s="48"/>
      <c r="C39" s="48"/>
      <c r="D39" s="186" t="str">
        <f>IF(D38&gt;0,"eli toimenpidettä voidaan pitää kannattavana","toimenpide ei ole nettonykyarvon perusteella kannattava")</f>
        <v>eli toimenpidettä voidaan pitää kannattavana</v>
      </c>
      <c r="E39" s="187"/>
      <c r="F39" s="187"/>
      <c r="G39" s="48"/>
      <c r="H39" s="186" t="str">
        <f>IF(H38="#ei voi laskea#","toimenpide ei ole kannattava","vuoden päästä")</f>
        <v>vuoden päästä</v>
      </c>
      <c r="I39" s="187"/>
      <c r="J39" s="187"/>
      <c r="K39" s="186" t="str">
        <f>IF(K38&gt;($D$21/100),"eli toimenpidettä voidaan pitää kannattavana","toimenpide ei ole sisäisen korkokannan perusteella kannattava")</f>
        <v>eli toimenpidettä voidaan pitää kannattavana</v>
      </c>
      <c r="L39" s="187"/>
      <c r="M39" s="187"/>
      <c r="N39" s="145"/>
      <c r="O39" s="145"/>
    </row>
    <row r="40" spans="2:15" ht="15" customHeight="1" x14ac:dyDescent="0.25">
      <c r="B40" s="11" t="s">
        <v>114</v>
      </c>
      <c r="C40" s="48"/>
      <c r="D40" s="188">
        <f>($D$30-$H$14)*$H$20-$H$12</f>
        <v>0</v>
      </c>
      <c r="E40" s="193"/>
      <c r="F40" s="193"/>
      <c r="G40" s="4"/>
      <c r="H40" s="189" t="e">
        <f>IF($D$30&lt;$H$14,"#ei voi laskea#",IF(($H$12/($D$30-$H$14))*$D$21/100&lt;1,LOG(1/(1-($H$12/($D$30-$H$14))*$D$21/100),(1+$D$21/100)),"#ei voi laskea#"))</f>
        <v>#DIV/0!</v>
      </c>
      <c r="I40" s="190"/>
      <c r="J40" s="190"/>
      <c r="K40" s="191" t="e">
        <f>VLOOKUP($D$19,Sheet4!$V$3:$X$302,3,FALSE)</f>
        <v>#NUM!</v>
      </c>
      <c r="L40" s="193"/>
      <c r="M40" s="193"/>
      <c r="N40" s="145"/>
      <c r="O40" s="145"/>
    </row>
    <row r="41" spans="2:15" ht="30" customHeight="1" x14ac:dyDescent="0.25">
      <c r="B41" s="48"/>
      <c r="C41" s="48"/>
      <c r="D41" s="186" t="str">
        <f>IF(D40&gt;0,"eli toimenpidettä voidaan pitää kannattavana","toimenpide ei ole nettonykyarvon perusteella kannattava")</f>
        <v>toimenpide ei ole nettonykyarvon perusteella kannattava</v>
      </c>
      <c r="E41" s="187"/>
      <c r="F41" s="187"/>
      <c r="G41" s="48"/>
      <c r="H41" s="186" t="e">
        <f>IF(H40="#ei voi laskea#","toimenpide ei ole kannattava","vuoden päästä")</f>
        <v>#DIV/0!</v>
      </c>
      <c r="I41" s="187"/>
      <c r="J41" s="187"/>
      <c r="K41" s="186" t="e">
        <f>IF(K40&gt;($D$21/100),"eli toimenpidettä voidaan pitää kannattavana","toimenpide ei ole sisäisen korkokannan perusteella kannattava")</f>
        <v>#NUM!</v>
      </c>
      <c r="L41" s="187"/>
      <c r="M41" s="187"/>
      <c r="N41" s="145"/>
      <c r="O41" s="145"/>
    </row>
    <row r="42" spans="2:15" ht="15" customHeight="1" x14ac:dyDescent="0.25">
      <c r="B42" s="48"/>
      <c r="C42" s="48"/>
      <c r="D42" s="48"/>
      <c r="E42" s="48"/>
      <c r="F42" s="48"/>
      <c r="G42" s="48"/>
      <c r="H42" s="48"/>
      <c r="I42" s="48"/>
      <c r="J42" s="48"/>
      <c r="K42" s="145"/>
      <c r="L42" s="145"/>
      <c r="M42" s="145"/>
      <c r="N42" s="145"/>
      <c r="O42" s="145"/>
    </row>
    <row r="43" spans="2:15" ht="15" customHeight="1" x14ac:dyDescent="0.25"/>
    <row r="44" spans="2:15" hidden="1" x14ac:dyDescent="0.25"/>
    <row r="45" spans="2:15" ht="15" customHeight="1" x14ac:dyDescent="0.25"/>
    <row r="46" spans="2:15" ht="15" customHeight="1" x14ac:dyDescent="0.25"/>
    <row r="47" spans="2:15" ht="15" customHeight="1" x14ac:dyDescent="0.25"/>
    <row r="48" spans="2:15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</sheetData>
  <mergeCells count="31">
    <mergeCell ref="L7:O7"/>
    <mergeCell ref="L14:O14"/>
    <mergeCell ref="L9:O9"/>
    <mergeCell ref="K10:O12"/>
    <mergeCell ref="B26:C26"/>
    <mergeCell ref="D34:F34"/>
    <mergeCell ref="D35:F35"/>
    <mergeCell ref="D38:F38"/>
    <mergeCell ref="B28:C28"/>
    <mergeCell ref="B30:C30"/>
    <mergeCell ref="H34:J34"/>
    <mergeCell ref="H35:J35"/>
    <mergeCell ref="H38:J38"/>
    <mergeCell ref="H39:J39"/>
    <mergeCell ref="H40:J40"/>
    <mergeCell ref="K34:M34"/>
    <mergeCell ref="K35:M35"/>
    <mergeCell ref="K38:M38"/>
    <mergeCell ref="K39:M39"/>
    <mergeCell ref="K40:M40"/>
    <mergeCell ref="K41:M41"/>
    <mergeCell ref="D36:F36"/>
    <mergeCell ref="H36:J36"/>
    <mergeCell ref="K36:M36"/>
    <mergeCell ref="D37:F37"/>
    <mergeCell ref="H37:J37"/>
    <mergeCell ref="K37:M37"/>
    <mergeCell ref="D39:F39"/>
    <mergeCell ref="D40:F40"/>
    <mergeCell ref="D41:F41"/>
    <mergeCell ref="H41:J41"/>
  </mergeCells>
  <pageMargins left="0.7" right="0.7" top="0.75" bottom="0.75" header="0.3" footer="0.3"/>
  <pageSetup paperSize="9" orientation="portrait" r:id="rId1"/>
  <ignoredErrors>
    <ignoredError sqref="D38 D40 H40 H38 K38 K40" 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Tavoitetaso" prompt="valitse tavoitetason toistuvuus">
          <x14:formula1>
            <xm:f>Sheet4!$AD$2:$AK$2</xm:f>
          </x14:formula1>
          <xm:sqref>F28</xm:sqref>
        </x14:dataValidation>
        <x14:dataValidation type="list" allowBlank="1" showInputMessage="1" promptTitle="Merkittävät tulvariskialueet" prompt="valitse alue luettelosta">
          <x14:formula1>
            <xm:f>Sheet4!$AC$5:$AC$30</xm:f>
          </x14:formula1>
          <xm:sqref>D28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ul4"/>
  <dimension ref="E1:AV302"/>
  <sheetViews>
    <sheetView workbookViewId="0">
      <selection activeCell="AD34" sqref="AD34"/>
    </sheetView>
  </sheetViews>
  <sheetFormatPr defaultRowHeight="15" x14ac:dyDescent="0.25"/>
  <cols>
    <col min="3" max="3" width="10.28515625" customWidth="1"/>
    <col min="4" max="4" width="9.42578125" customWidth="1"/>
    <col min="5" max="5" width="23.28515625" customWidth="1"/>
    <col min="6" max="8" width="14.85546875" bestFit="1" customWidth="1"/>
    <col min="9" max="9" width="16" bestFit="1" customWidth="1"/>
    <col min="16" max="16" width="9.140625" style="137"/>
    <col min="17" max="17" width="9.140625" style="105"/>
    <col min="18" max="18" width="9.140625" style="116" customWidth="1"/>
    <col min="19" max="19" width="9.140625" style="137"/>
    <col min="20" max="20" width="9.140625" style="105"/>
    <col min="21" max="21" width="9.140625" style="116" customWidth="1"/>
    <col min="22" max="22" width="9.140625" style="137"/>
    <col min="23" max="23" width="9.140625" style="105"/>
    <col min="24" max="24" width="9.140625" style="116" customWidth="1"/>
    <col min="29" max="29" width="31" customWidth="1"/>
  </cols>
  <sheetData>
    <row r="1" spans="5:48" x14ac:dyDescent="0.25">
      <c r="F1" s="49" t="s">
        <v>43</v>
      </c>
      <c r="G1" s="49" t="s">
        <v>48</v>
      </c>
      <c r="H1" s="49" t="s">
        <v>16</v>
      </c>
      <c r="I1" s="50" t="s">
        <v>49</v>
      </c>
      <c r="J1" s="50" t="s">
        <v>49</v>
      </c>
      <c r="P1" s="137" t="s">
        <v>124</v>
      </c>
      <c r="S1" s="137" t="s">
        <v>123</v>
      </c>
      <c r="V1" s="137" t="s">
        <v>112</v>
      </c>
      <c r="AB1" s="152" t="s">
        <v>125</v>
      </c>
      <c r="AC1" s="153"/>
      <c r="AD1" s="153" t="s">
        <v>164</v>
      </c>
      <c r="AE1" s="153"/>
      <c r="AF1" s="153"/>
      <c r="AG1" s="153"/>
      <c r="AH1" s="153"/>
      <c r="AI1" s="153"/>
      <c r="AJ1" s="153"/>
      <c r="AK1" s="153"/>
      <c r="AL1" s="153"/>
      <c r="AM1" s="153"/>
      <c r="AN1" s="154"/>
      <c r="AO1" t="s">
        <v>165</v>
      </c>
    </row>
    <row r="2" spans="5:48" ht="15.75" x14ac:dyDescent="0.25">
      <c r="E2" s="111" t="str">
        <f>'hyöty-vahinkoarviot'!$B$49</f>
        <v>Siirretty omaisuus</v>
      </c>
      <c r="F2" s="112">
        <f t="shared" ref="F2:F7" si="0">G3</f>
        <v>0</v>
      </c>
      <c r="G2" s="112">
        <f t="shared" ref="G2:G7" si="1">F2-H2</f>
        <v>0</v>
      </c>
      <c r="H2" s="112">
        <f>lähtötiedot!P68</f>
        <v>0</v>
      </c>
      <c r="I2" s="100">
        <f t="shared" ref="I2:I7" si="2">I3+H3</f>
        <v>0</v>
      </c>
      <c r="J2" s="100">
        <f>J3+H3</f>
        <v>0</v>
      </c>
      <c r="K2" s="113"/>
      <c r="L2">
        <f>lähtötiedot!H35</f>
        <v>0</v>
      </c>
      <c r="P2" s="138" t="s">
        <v>107</v>
      </c>
      <c r="Q2" s="139">
        <f>IF(0-'kustannus-hyötyarviot'!$D$12-'kustannus-hyötyarviot'!$F$12=0,-1,0-'kustannus-hyötyarviot'!$D$12-'kustannus-hyötyarviot'!$F$12)</f>
        <v>-1</v>
      </c>
      <c r="R2" s="140" t="s">
        <v>108</v>
      </c>
      <c r="S2" s="138" t="s">
        <v>107</v>
      </c>
      <c r="T2" s="139">
        <f>IF(0-'kustannus-hyötyarviot'!$D$12-'kustannus-hyötyarviot'!$F$12=0,-1,0-'kustannus-hyötyarviot'!$D$12-'kustannus-hyötyarviot'!$F$12)</f>
        <v>-1</v>
      </c>
      <c r="U2" s="140" t="s">
        <v>108</v>
      </c>
      <c r="V2" s="138" t="s">
        <v>107</v>
      </c>
      <c r="W2" s="139">
        <f>IF(0-'kustannus-hyötyarviot'!$D$12-'kustannus-hyötyarviot'!$F$12=0,-1,0-'kustannus-hyötyarviot'!$D$12-'kustannus-hyötyarviot'!$F$12)</f>
        <v>-1</v>
      </c>
      <c r="X2" s="140" t="s">
        <v>108</v>
      </c>
      <c r="AB2" s="155" t="s">
        <v>148</v>
      </c>
      <c r="AC2" s="105" t="s">
        <v>149</v>
      </c>
      <c r="AD2" s="149" t="s">
        <v>153</v>
      </c>
      <c r="AE2" s="149" t="s">
        <v>154</v>
      </c>
      <c r="AF2" s="149" t="s">
        <v>155</v>
      </c>
      <c r="AG2" s="149" t="s">
        <v>156</v>
      </c>
      <c r="AH2" s="149" t="s">
        <v>157</v>
      </c>
      <c r="AI2" s="149" t="s">
        <v>158</v>
      </c>
      <c r="AJ2" s="149" t="s">
        <v>159</v>
      </c>
      <c r="AK2" s="149" t="s">
        <v>160</v>
      </c>
      <c r="AL2" s="105" t="s">
        <v>150</v>
      </c>
      <c r="AM2" s="149" t="s">
        <v>151</v>
      </c>
      <c r="AN2" s="156" t="s">
        <v>152</v>
      </c>
      <c r="AO2" s="149">
        <v>2</v>
      </c>
      <c r="AP2" s="149">
        <v>5</v>
      </c>
      <c r="AQ2" s="149">
        <v>10</v>
      </c>
      <c r="AR2" s="149">
        <v>20</v>
      </c>
      <c r="AS2" s="149">
        <v>50</v>
      </c>
      <c r="AT2" s="149">
        <v>100</v>
      </c>
      <c r="AU2" s="149">
        <v>250</v>
      </c>
      <c r="AV2" s="149">
        <v>1000</v>
      </c>
    </row>
    <row r="3" spans="5:48" x14ac:dyDescent="0.25">
      <c r="E3" s="114" t="str">
        <f>'hyöty-vahinkoarviot'!B47</f>
        <v>Tulvansietokyvyn parantaminen</v>
      </c>
      <c r="F3" s="115">
        <f t="shared" si="0"/>
        <v>0</v>
      </c>
      <c r="G3" s="115">
        <f>F3-H3</f>
        <v>0</v>
      </c>
      <c r="H3" s="115">
        <f>lähtötiedot!P61</f>
        <v>0</v>
      </c>
      <c r="I3" s="104">
        <f t="shared" si="2"/>
        <v>0</v>
      </c>
      <c r="J3" s="104">
        <f>J4+H4</f>
        <v>0</v>
      </c>
      <c r="K3" s="116"/>
      <c r="L3">
        <f>lähtötiedot!H26</f>
        <v>0</v>
      </c>
      <c r="P3" s="142">
        <v>1</v>
      </c>
      <c r="Q3" s="139">
        <f>IF('kustannus-hyötyarviot'!$D$26-'kustannus-hyötyarviot'!$H$14&lt;0,1,'kustannus-hyötyarviot'!$D$26-'kustannus-hyötyarviot'!$H$14)</f>
        <v>0</v>
      </c>
      <c r="R3" s="141" t="e">
        <f>IF(Q3=1,-1,IRR(Q$2:$Q3))</f>
        <v>#NUM!</v>
      </c>
      <c r="S3" s="142">
        <v>1</v>
      </c>
      <c r="T3" s="139">
        <f>IF('kustannus-hyötyarviot'!$H$28-'kustannus-hyötyarviot'!$H$14&lt;0,1,'kustannus-hyötyarviot'!$H$28-'kustannus-hyötyarviot'!$H$14)</f>
        <v>210000</v>
      </c>
      <c r="U3" s="141">
        <f>IF(T3=1,-1,IRR($T$2:T3))</f>
        <v>209998.99999792481</v>
      </c>
      <c r="V3" s="142">
        <v>1</v>
      </c>
      <c r="W3" s="139">
        <f>IF('kustannus-hyötyarviot'!$D$30-'kustannus-hyötyarviot'!$H$14&lt;0,1,'kustannus-hyötyarviot'!$D$30-'kustannus-hyötyarviot'!$H$14)</f>
        <v>0</v>
      </c>
      <c r="X3" s="141" t="e">
        <f>IF(W3=1,-1,IRR($W$2:W3))</f>
        <v>#NUM!</v>
      </c>
      <c r="AD3" s="169">
        <v>13</v>
      </c>
      <c r="AE3" s="169">
        <v>14</v>
      </c>
      <c r="AF3" s="169">
        <v>15</v>
      </c>
      <c r="AG3" s="169">
        <v>16</v>
      </c>
      <c r="AH3" s="169">
        <v>17</v>
      </c>
      <c r="AI3" s="169">
        <v>18</v>
      </c>
      <c r="AJ3" s="169">
        <v>19</v>
      </c>
      <c r="AK3" s="169">
        <v>20</v>
      </c>
    </row>
    <row r="4" spans="5:48" ht="15.75" thickBot="1" x14ac:dyDescent="0.3">
      <c r="E4" s="117" t="str">
        <f>'hyöty-vahinkoarviot'!B45</f>
        <v>Tulvariskin vähentäminen</v>
      </c>
      <c r="F4" s="118">
        <f t="shared" si="0"/>
        <v>0</v>
      </c>
      <c r="G4" s="118">
        <f>F4-H4</f>
        <v>0</v>
      </c>
      <c r="H4" s="118">
        <f>lähtötiedot!P59+lähtötiedot!P73</f>
        <v>0</v>
      </c>
      <c r="I4" s="108">
        <f t="shared" si="2"/>
        <v>0</v>
      </c>
      <c r="J4" s="119">
        <v>0</v>
      </c>
      <c r="K4" s="120"/>
      <c r="L4">
        <f>lähtötiedot!H29</f>
        <v>0</v>
      </c>
      <c r="P4" s="142">
        <v>2</v>
      </c>
      <c r="Q4" s="139">
        <f>IF('kustannus-hyötyarviot'!$D$26-'kustannus-hyötyarviot'!$H$14&lt;0,1,'kustannus-hyötyarviot'!$D$26-'kustannus-hyötyarviot'!$H$14)</f>
        <v>0</v>
      </c>
      <c r="R4" s="141" t="e">
        <f>IF(Q4=1,-1,IRR(Q$2:$Q4))</f>
        <v>#NUM!</v>
      </c>
      <c r="S4" s="142">
        <v>2</v>
      </c>
      <c r="T4" s="139">
        <f>IF('kustannus-hyötyarviot'!$H$28-'kustannus-hyötyarviot'!$H$14&lt;0,1,'kustannus-hyötyarviot'!$H$28-'kustannus-hyötyarviot'!$H$14)</f>
        <v>210000</v>
      </c>
      <c r="U4" s="141">
        <f>IF(T4=1,-1,IRR($T$2:T4))</f>
        <v>209999.99999347681</v>
      </c>
      <c r="V4" s="142">
        <v>2</v>
      </c>
      <c r="W4" s="139">
        <f>IF('kustannus-hyötyarviot'!$D$30-'kustannus-hyötyarviot'!$H$14&lt;0,1,'kustannus-hyötyarviot'!$D$30-'kustannus-hyötyarviot'!$H$14)</f>
        <v>0</v>
      </c>
      <c r="X4" s="141" t="e">
        <f>IF(W4=1,-1,IRR($W$2:W4))</f>
        <v>#NUM!</v>
      </c>
      <c r="AD4" s="169">
        <v>2</v>
      </c>
      <c r="AE4" s="169">
        <v>3</v>
      </c>
      <c r="AF4" s="169">
        <v>4</v>
      </c>
      <c r="AG4" s="169">
        <v>5</v>
      </c>
      <c r="AH4" s="169">
        <v>6</v>
      </c>
      <c r="AI4" s="169">
        <v>7</v>
      </c>
      <c r="AJ4" s="169">
        <v>8</v>
      </c>
      <c r="AK4" s="169">
        <v>9</v>
      </c>
    </row>
    <row r="5" spans="5:48" ht="15.75" thickBot="1" x14ac:dyDescent="0.3">
      <c r="E5" s="99" t="str">
        <f>'hyöty-vahinkoarviot'!$B$31</f>
        <v>Tilapäinen tulvasuojelu</v>
      </c>
      <c r="F5" s="100">
        <f t="shared" si="0"/>
        <v>0</v>
      </c>
      <c r="G5" s="100">
        <f>F5-H5</f>
        <v>0</v>
      </c>
      <c r="H5" s="100">
        <f>L5</f>
        <v>0</v>
      </c>
      <c r="I5" s="100">
        <f t="shared" si="2"/>
        <v>0</v>
      </c>
      <c r="J5" s="101"/>
      <c r="K5" s="102" t="s">
        <v>44</v>
      </c>
      <c r="L5">
        <f>lähtötiedot!H32</f>
        <v>0</v>
      </c>
      <c r="P5" s="142">
        <v>3</v>
      </c>
      <c r="Q5" s="139">
        <f>IF('kustannus-hyötyarviot'!$D$26-'kustannus-hyötyarviot'!$H$14&lt;0,1,'kustannus-hyötyarviot'!$D$26-'kustannus-hyötyarviot'!$H$14)</f>
        <v>0</v>
      </c>
      <c r="R5" s="141" t="e">
        <f>IF(Q5=1,-1,IRR(Q$2:$Q5))</f>
        <v>#NUM!</v>
      </c>
      <c r="S5" s="142">
        <v>3</v>
      </c>
      <c r="T5" s="139">
        <f>IF('kustannus-hyötyarviot'!$H$28-'kustannus-hyötyarviot'!$H$14&lt;0,1,'kustannus-hyötyarviot'!$H$28-'kustannus-hyötyarviot'!$H$14)</f>
        <v>210000</v>
      </c>
      <c r="U5" s="141">
        <f>IF(T5=1,-1,IRR($T$2:T5))</f>
        <v>209999.99999837292</v>
      </c>
      <c r="V5" s="142">
        <v>3</v>
      </c>
      <c r="W5" s="139">
        <f>IF('kustannus-hyötyarviot'!$D$30-'kustannus-hyötyarviot'!$H$14&lt;0,1,'kustannus-hyötyarviot'!$D$30-'kustannus-hyötyarviot'!$H$14)</f>
        <v>0</v>
      </c>
      <c r="X5" s="141" t="e">
        <f>IF(W5=1,-1,IRR($W$2:W5))</f>
        <v>#NUM!</v>
      </c>
      <c r="AB5" s="155">
        <v>1</v>
      </c>
      <c r="AC5" s="105" t="s">
        <v>126</v>
      </c>
      <c r="AD5" s="150">
        <v>3.9283194092725586</v>
      </c>
      <c r="AE5" s="150">
        <v>8.1500473695079201</v>
      </c>
      <c r="AF5" s="150">
        <v>10.120080646737392</v>
      </c>
      <c r="AG5" s="150">
        <v>16.52337858388238</v>
      </c>
      <c r="AH5" s="150">
        <v>21.904341809946438</v>
      </c>
      <c r="AI5" s="150">
        <v>28.018174427443217</v>
      </c>
      <c r="AJ5" s="150">
        <v>43.65502752648311</v>
      </c>
      <c r="AK5" s="150">
        <v>85.865711182843697</v>
      </c>
      <c r="AL5" s="151">
        <v>2.3320919745069792</v>
      </c>
      <c r="AM5" s="157">
        <v>-11.891150838144499</v>
      </c>
      <c r="AN5" s="158">
        <v>-15.161913781206849</v>
      </c>
      <c r="AO5" s="168">
        <f t="shared" ref="AO5:AV8" si="3">ABS(IF($AK5&gt;0,0.1*($AM5*LN(0.1)+($AN5-$AM5))-0.001*($AM5*LN(0.001)+($AN5-$AM5)),0.1*($AN5*LN(0.1)+($AN5-$AM5))-0.004*($AM5*LN(0.004)+($AN5-$AM5))))-1/AO$2*($AM5*LN(1/AO$2)+($AN5-$AM5))</f>
        <v>-0.15368539249829105</v>
      </c>
      <c r="AP5" s="168">
        <f t="shared" si="3"/>
        <v>-0.84136923315700818</v>
      </c>
      <c r="AQ5" s="168">
        <f t="shared" si="3"/>
        <v>-7.8870397032303252E-2</v>
      </c>
      <c r="AR5" s="168">
        <f t="shared" si="3"/>
        <v>0.71449490488369349</v>
      </c>
      <c r="AS5" s="168">
        <f t="shared" si="3"/>
        <v>1.4671381205714771</v>
      </c>
      <c r="AT5" s="168">
        <f t="shared" si="3"/>
        <v>1.8171918707684993</v>
      </c>
      <c r="AU5" s="168">
        <f t="shared" si="3"/>
        <v>2.0825489277943499</v>
      </c>
      <c r="AV5" s="168">
        <f t="shared" si="3"/>
        <v>2.253221577474676</v>
      </c>
    </row>
    <row r="6" spans="5:48" ht="15.75" thickBot="1" x14ac:dyDescent="0.3">
      <c r="E6" s="103" t="str">
        <f>'hyöty-vahinkoarviot'!$B$29</f>
        <v>Valmiustoimet</v>
      </c>
      <c r="F6" s="104">
        <f t="shared" si="0"/>
        <v>0</v>
      </c>
      <c r="G6" s="104">
        <f t="shared" si="1"/>
        <v>0</v>
      </c>
      <c r="H6" s="104">
        <f>L4</f>
        <v>0</v>
      </c>
      <c r="I6" s="104">
        <f t="shared" si="2"/>
        <v>0</v>
      </c>
      <c r="J6" s="105"/>
      <c r="K6" s="106">
        <f>lähtötiedot!L59</f>
        <v>0.09</v>
      </c>
      <c r="P6" s="142">
        <v>4</v>
      </c>
      <c r="Q6" s="139">
        <f>IF('kustannus-hyötyarviot'!$D$26-'kustannus-hyötyarviot'!$H$14&lt;0,1,'kustannus-hyötyarviot'!$D$26-'kustannus-hyötyarviot'!$H$14)</f>
        <v>0</v>
      </c>
      <c r="R6" s="141" t="e">
        <f>IF(Q6=1,-1,IRR(Q$2:$Q6))</f>
        <v>#NUM!</v>
      </c>
      <c r="S6" s="142">
        <v>4</v>
      </c>
      <c r="T6" s="139">
        <f>IF('kustannus-hyötyarviot'!$H$28-'kustannus-hyötyarviot'!$H$14&lt;0,1,'kustannus-hyötyarviot'!$H$28-'kustannus-hyötyarviot'!$H$14)</f>
        <v>210000</v>
      </c>
      <c r="U6" s="141">
        <f>IF(T6=1,-1,IRR($T$2:T6))</f>
        <v>209999.99974377415</v>
      </c>
      <c r="V6" s="142">
        <v>4</v>
      </c>
      <c r="W6" s="139">
        <f>IF('kustannus-hyötyarviot'!$D$30-'kustannus-hyötyarviot'!$H$14&lt;0,1,'kustannus-hyötyarviot'!$D$30-'kustannus-hyötyarviot'!$H$14)</f>
        <v>0</v>
      </c>
      <c r="X6" s="141" t="e">
        <f>IF(W6=1,-1,IRR($W$2:W6))</f>
        <v>#NUM!</v>
      </c>
      <c r="AB6" s="155">
        <v>2</v>
      </c>
      <c r="AC6" s="105" t="s">
        <v>127</v>
      </c>
      <c r="AD6" s="150">
        <v>1.1547476289741643</v>
      </c>
      <c r="AE6" s="150">
        <v>1.7868623427841281</v>
      </c>
      <c r="AF6" s="150">
        <v>2.4754331704143588</v>
      </c>
      <c r="AG6" s="150">
        <v>5.0223461919926988</v>
      </c>
      <c r="AH6" s="150">
        <v>6.8789539367727492</v>
      </c>
      <c r="AI6" s="150">
        <v>9.2467519770687332</v>
      </c>
      <c r="AJ6" s="150">
        <v>13.490918506509946</v>
      </c>
      <c r="AK6" s="150">
        <v>28.069916975809644</v>
      </c>
      <c r="AL6" s="151">
        <v>0.72097818886131526</v>
      </c>
      <c r="AM6" s="157">
        <v>-3.9479754062669934</v>
      </c>
      <c r="AN6" s="158">
        <v>-5.5722692949791259</v>
      </c>
      <c r="AO6" s="168">
        <f t="shared" si="3"/>
        <v>0.16486112233039607</v>
      </c>
      <c r="AP6" s="168">
        <f t="shared" si="3"/>
        <v>-0.22496729263696214</v>
      </c>
      <c r="AQ6" s="168">
        <f t="shared" si="3"/>
        <v>-2.564735406522034E-2</v>
      </c>
      <c r="AR6" s="168">
        <f t="shared" si="3"/>
        <v>0.21083901630934876</v>
      </c>
      <c r="AS6" s="168">
        <f t="shared" si="3"/>
        <v>0.44457265435193771</v>
      </c>
      <c r="AT6" s="168">
        <f t="shared" si="3"/>
        <v>0.55541014138888678</v>
      </c>
      <c r="AU6" s="168">
        <f t="shared" si="3"/>
        <v>0.64028099677462569</v>
      </c>
      <c r="AV6" s="168">
        <f t="shared" si="3"/>
        <v>0.69533083479609492</v>
      </c>
    </row>
    <row r="7" spans="5:48" ht="15" customHeight="1" thickBot="1" x14ac:dyDescent="0.3">
      <c r="E7" s="103" t="str">
        <f>'hyöty-vahinkoarviot'!$B$27</f>
        <v>Toiminta tulvatilanteessa</v>
      </c>
      <c r="F7" s="104">
        <f t="shared" si="0"/>
        <v>0</v>
      </c>
      <c r="G7" s="104">
        <f t="shared" si="1"/>
        <v>0</v>
      </c>
      <c r="H7" s="104">
        <f>L3</f>
        <v>0</v>
      </c>
      <c r="I7" s="104">
        <f t="shared" si="2"/>
        <v>0</v>
      </c>
      <c r="J7" s="105"/>
      <c r="K7" s="106">
        <f>lähtötiedot!L61</f>
        <v>2.2499999999999999E-2</v>
      </c>
      <c r="L7">
        <f>lähtötiedot!D35*lähtötiedot!H22</f>
        <v>0</v>
      </c>
      <c r="P7" s="142">
        <v>5</v>
      </c>
      <c r="Q7" s="139">
        <f>IF('kustannus-hyötyarviot'!$D$26-'kustannus-hyötyarviot'!$H$14&lt;0,1,'kustannus-hyötyarviot'!$D$26-'kustannus-hyötyarviot'!$H$14)</f>
        <v>0</v>
      </c>
      <c r="R7" s="141" t="e">
        <f>IF(Q7=1,-1,IRR(Q$2:$Q7))</f>
        <v>#NUM!</v>
      </c>
      <c r="S7" s="142">
        <v>5</v>
      </c>
      <c r="T7" s="139">
        <f>IF('kustannus-hyötyarviot'!$H$28-'kustannus-hyötyarviot'!$H$14&lt;0,1,'kustannus-hyötyarviot'!$H$28-'kustannus-hyötyarviot'!$H$14)</f>
        <v>210000</v>
      </c>
      <c r="U7" s="141">
        <f>IF(T7=1,-1,IRR($T$2:T7))</f>
        <v>209999.99999837292</v>
      </c>
      <c r="V7" s="142">
        <v>5</v>
      </c>
      <c r="W7" s="139">
        <f>IF('kustannus-hyötyarviot'!$D$30-'kustannus-hyötyarviot'!$H$14&lt;0,1,'kustannus-hyötyarviot'!$D$30-'kustannus-hyötyarviot'!$H$14)</f>
        <v>0</v>
      </c>
      <c r="X7" s="141" t="e">
        <f>IF(W7=1,-1,IRR($W$2:W7))</f>
        <v>#NUM!</v>
      </c>
      <c r="AB7" s="155">
        <v>3</v>
      </c>
      <c r="AC7" s="105" t="s">
        <v>128</v>
      </c>
      <c r="AD7" s="150">
        <v>0.19234405503352181</v>
      </c>
      <c r="AE7" s="150">
        <v>0.92628716102459574</v>
      </c>
      <c r="AF7" s="150">
        <v>2.3440997941844994</v>
      </c>
      <c r="AG7" s="150">
        <v>3.6686152019842546</v>
      </c>
      <c r="AH7" s="150">
        <v>8.1245013863059921</v>
      </c>
      <c r="AI7" s="150">
        <v>11.622071846014105</v>
      </c>
      <c r="AJ7" s="150">
        <v>19.304608181243953</v>
      </c>
      <c r="AK7" s="150">
        <v>30.288985883028214</v>
      </c>
      <c r="AL7" s="151">
        <v>0.79655221087614525</v>
      </c>
      <c r="AM7" s="157">
        <v>-4.8438540276630331</v>
      </c>
      <c r="AN7" s="158">
        <v>-7.7259372455140767</v>
      </c>
      <c r="AO7" s="168">
        <f t="shared" si="3"/>
        <v>0.55884193864238385</v>
      </c>
      <c r="AP7" s="168">
        <f t="shared" si="3"/>
        <v>-0.18620760843714623</v>
      </c>
      <c r="AQ7" s="168">
        <f t="shared" si="3"/>
        <v>-3.0578075012357209E-2</v>
      </c>
      <c r="AR7" s="168">
        <f t="shared" si="3"/>
        <v>0.21511187981596569</v>
      </c>
      <c r="AS7" s="168">
        <f t="shared" si="3"/>
        <v>0.47520850741009474</v>
      </c>
      <c r="AT7" s="168">
        <f t="shared" si="3"/>
        <v>0.60230532151993432</v>
      </c>
      <c r="AU7" s="168">
        <f t="shared" si="3"/>
        <v>0.70109994092526517</v>
      </c>
      <c r="AV7" s="168">
        <f t="shared" si="3"/>
        <v>0.76597413586378804</v>
      </c>
    </row>
    <row r="8" spans="5:48" ht="15.75" thickBot="1" x14ac:dyDescent="0.3">
      <c r="E8" s="107" t="str">
        <f>'hyöty-vahinkoarviot'!$B$25</f>
        <v>Kiinteät rakenteet</v>
      </c>
      <c r="F8" s="108">
        <f>lähtötiedot!H12</f>
        <v>0</v>
      </c>
      <c r="G8" s="108">
        <f>F8-H8</f>
        <v>0</v>
      </c>
      <c r="H8" s="108">
        <f>L2</f>
        <v>0</v>
      </c>
      <c r="I8" s="108">
        <v>0</v>
      </c>
      <c r="J8" s="109"/>
      <c r="K8" s="110">
        <f>lähtötiedot!L68</f>
        <v>9.3479999999999994E-2</v>
      </c>
      <c r="L8">
        <f>IF(lähtötiedot!$H$20,IF(ISBLANK(lähtötiedot!F26),1,lähtötiedot!F26)*lähtötiedot!H22*lähtötiedot!D26,lähtötiedot!H22*lähtötiedot!D26)</f>
        <v>0</v>
      </c>
      <c r="P8" s="142">
        <v>6</v>
      </c>
      <c r="Q8" s="139">
        <f>IF('kustannus-hyötyarviot'!$D$26-'kustannus-hyötyarviot'!$H$14&lt;0,1,'kustannus-hyötyarviot'!$D$26-'kustannus-hyötyarviot'!$H$14)</f>
        <v>0</v>
      </c>
      <c r="R8" s="141" t="e">
        <f>IF(Q8=1,-1,IRR(Q$2:$Q8))</f>
        <v>#NUM!</v>
      </c>
      <c r="S8" s="142">
        <v>6</v>
      </c>
      <c r="T8" s="139">
        <f>IF('kustannus-hyötyarviot'!$H$28-'kustannus-hyötyarviot'!$H$14&lt;0,1,'kustannus-hyötyarviot'!$H$28-'kustannus-hyötyarviot'!$H$14)</f>
        <v>210000</v>
      </c>
      <c r="U8" s="141">
        <f>IF(T8=1,-1,IRR($T$2:T8))</f>
        <v>209999.99999837292</v>
      </c>
      <c r="V8" s="142">
        <v>6</v>
      </c>
      <c r="W8" s="139">
        <f>IF('kustannus-hyötyarviot'!$D$30-'kustannus-hyötyarviot'!$H$14&lt;0,1,'kustannus-hyötyarviot'!$D$30-'kustannus-hyötyarviot'!$H$14)</f>
        <v>0</v>
      </c>
      <c r="X8" s="141" t="e">
        <f>IF(W8=1,-1,IRR($W$2:W8))</f>
        <v>#NUM!</v>
      </c>
      <c r="AB8" s="155">
        <v>4</v>
      </c>
      <c r="AC8" s="105" t="s">
        <v>129</v>
      </c>
      <c r="AD8" s="150">
        <v>0.89654545977225486</v>
      </c>
      <c r="AE8" s="150">
        <v>2.137795004929381</v>
      </c>
      <c r="AF8" s="150">
        <v>5.033622282366399</v>
      </c>
      <c r="AG8" s="150">
        <v>9.8694571142421648</v>
      </c>
      <c r="AH8" s="150">
        <v>16.451063846532922</v>
      </c>
      <c r="AI8" s="150">
        <v>24.51184951951587</v>
      </c>
      <c r="AJ8" s="150">
        <v>52.390614970323156</v>
      </c>
      <c r="AK8" s="150">
        <v>93.765938210498831</v>
      </c>
      <c r="AL8" s="151">
        <v>2.0995428894368033</v>
      </c>
      <c r="AM8" s="157">
        <v>-14.165733794186217</v>
      </c>
      <c r="AN8" s="158">
        <v>-24.91709172092629</v>
      </c>
      <c r="AO8" s="168">
        <f t="shared" si="3"/>
        <v>2.5657526328053843</v>
      </c>
      <c r="AP8" s="168">
        <f t="shared" si="3"/>
        <v>-0.30995933037763246</v>
      </c>
      <c r="AQ8" s="168">
        <f t="shared" si="3"/>
        <v>-8.7102064470705454E-2</v>
      </c>
      <c r="AR8" s="168">
        <f t="shared" si="3"/>
        <v>0.51527349048290305</v>
      </c>
      <c r="AS8" s="168">
        <f t="shared" si="3"/>
        <v>1.2062365181390564</v>
      </c>
      <c r="AT8" s="168">
        <f t="shared" si="3"/>
        <v>1.5547003193879008</v>
      </c>
      <c r="AU8" s="168">
        <f t="shared" si="3"/>
        <v>1.8296861390740049</v>
      </c>
      <c r="AV8" s="168">
        <f t="shared" si="3"/>
        <v>2.0124408249660979</v>
      </c>
    </row>
    <row r="9" spans="5:48" ht="15.75" thickBot="1" x14ac:dyDescent="0.3">
      <c r="L9">
        <f>IF(lähtötiedot!$H$20,IF(ISBLANK(lähtötiedot!F29),1,lähtötiedot!F29)*lähtötiedot!H22*lähtötiedot!D29,lähtötiedot!H22*lähtötiedot!D29)</f>
        <v>0</v>
      </c>
      <c r="P9" s="142">
        <v>7</v>
      </c>
      <c r="Q9" s="139">
        <f>IF('kustannus-hyötyarviot'!$D$26-'kustannus-hyötyarviot'!$H$14&lt;0,1,'kustannus-hyötyarviot'!$D$26-'kustannus-hyötyarviot'!$H$14)</f>
        <v>0</v>
      </c>
      <c r="R9" s="141" t="e">
        <f>IF(Q9=1,-1,IRR(Q$2:$Q9))</f>
        <v>#NUM!</v>
      </c>
      <c r="S9" s="142">
        <v>7</v>
      </c>
      <c r="T9" s="139">
        <f>IF('kustannus-hyötyarviot'!$H$28-'kustannus-hyötyarviot'!$H$14&lt;0,1,'kustannus-hyötyarviot'!$H$28-'kustannus-hyötyarviot'!$H$14)</f>
        <v>210000</v>
      </c>
      <c r="U9" s="141">
        <f>IF(T9=1,-1,IRR($T$2:T9))</f>
        <v>209999.99982700837</v>
      </c>
      <c r="V9" s="142">
        <v>7</v>
      </c>
      <c r="W9" s="139">
        <f>IF('kustannus-hyötyarviot'!$D$30-'kustannus-hyötyarviot'!$H$14&lt;0,1,'kustannus-hyötyarviot'!$D$30-'kustannus-hyötyarviot'!$H$14)</f>
        <v>0</v>
      </c>
      <c r="X9" s="141" t="e">
        <f>IF(W9=1,-1,IRR($W$2:W9))</f>
        <v>#NUM!</v>
      </c>
      <c r="AB9" s="155">
        <v>5</v>
      </c>
      <c r="AC9" s="105" t="s">
        <v>130</v>
      </c>
      <c r="AD9" s="150"/>
      <c r="AE9" s="150"/>
      <c r="AF9" s="150"/>
      <c r="AG9" s="150">
        <v>4.9754553881735353</v>
      </c>
      <c r="AH9" s="150">
        <v>5.6608071207964752</v>
      </c>
      <c r="AI9" s="150">
        <v>6.864422639019625</v>
      </c>
      <c r="AJ9" s="150">
        <v>15.223606150965647</v>
      </c>
      <c r="AK9" s="150">
        <v>22.508430960926418</v>
      </c>
      <c r="AL9" s="151">
        <v>0.36021684949494948</v>
      </c>
      <c r="AM9" s="157">
        <v>-4.8343665230171595</v>
      </c>
      <c r="AN9" s="158">
        <v>-12.102473175865855</v>
      </c>
      <c r="AO9" s="168">
        <v>0</v>
      </c>
      <c r="AP9" s="168">
        <v>0</v>
      </c>
      <c r="AQ9" s="168">
        <v>0</v>
      </c>
      <c r="AR9" s="168">
        <f t="shared" ref="AR9:AV18" si="4">ABS(IF($AK9&gt;0,0.1*($AM9*LN(0.1)+($AN9-$AM9))-0.001*($AM9*LN(0.001)+($AN9-$AM9)),0.1*($AN9*LN(0.1)+($AN9-$AM9))-0.004*($AM9*LN(0.004)+($AN9-$AM9))))-1/AR$2*($AM9*LN(1/AR$2)+($AN9-$AM9))</f>
        <v>-5.0120862219060758E-4</v>
      </c>
      <c r="AS9" s="168">
        <f t="shared" si="4"/>
        <v>0.12733592145762732</v>
      </c>
      <c r="AT9" s="168">
        <f t="shared" si="4"/>
        <v>0.21026711022406111</v>
      </c>
      <c r="AU9" s="168">
        <f t="shared" si="4"/>
        <v>0.28251821282850087</v>
      </c>
      <c r="AV9" s="168">
        <f t="shared" si="4"/>
        <v>0.33409033527789189</v>
      </c>
    </row>
    <row r="10" spans="5:48" ht="15.75" thickBot="1" x14ac:dyDescent="0.3">
      <c r="E10" s="99" t="str">
        <f>'hyöty-vahinkoarviot'!$B$31</f>
        <v>Tilapäinen tulvasuojelu</v>
      </c>
      <c r="F10" s="100">
        <f>G11</f>
        <v>0</v>
      </c>
      <c r="G10" s="100">
        <f>F10-H10</f>
        <v>0</v>
      </c>
      <c r="H10" s="100">
        <f>L10</f>
        <v>0</v>
      </c>
      <c r="I10" s="100">
        <f>I11+H11</f>
        <v>0</v>
      </c>
      <c r="J10" s="101"/>
      <c r="K10" s="102"/>
      <c r="L10">
        <f>IF(lähtötiedot!$H$20,IF(ISBLANK(lähtötiedot!F32),1,lähtötiedot!F32)*lähtötiedot!$H$22*lähtötiedot!D32,lähtötiedot!$H$22*lähtötiedot!D32)</f>
        <v>0</v>
      </c>
      <c r="P10" s="142">
        <v>8</v>
      </c>
      <c r="Q10" s="139">
        <f>IF('kustannus-hyötyarviot'!$D$26-'kustannus-hyötyarviot'!$H$14&lt;0,1,'kustannus-hyötyarviot'!$D$26-'kustannus-hyötyarviot'!$H$14)</f>
        <v>0</v>
      </c>
      <c r="R10" s="141" t="e">
        <f>IF(Q10=1,-1,IRR(Q$2:$Q10))</f>
        <v>#NUM!</v>
      </c>
      <c r="S10" s="142">
        <v>8</v>
      </c>
      <c r="T10" s="139">
        <f>IF('kustannus-hyötyarviot'!$H$28-'kustannus-hyötyarviot'!$H$14&lt;0,1,'kustannus-hyötyarviot'!$H$28-'kustannus-hyötyarviot'!$H$14)</f>
        <v>210000</v>
      </c>
      <c r="U10" s="141">
        <f>IF(T10=1,-1,IRR($T$2:T10))</f>
        <v>209999.99583176625</v>
      </c>
      <c r="V10" s="142">
        <v>8</v>
      </c>
      <c r="W10" s="139">
        <f>IF('kustannus-hyötyarviot'!$D$30-'kustannus-hyötyarviot'!$H$14&lt;0,1,'kustannus-hyötyarviot'!$D$30-'kustannus-hyötyarviot'!$H$14)</f>
        <v>0</v>
      </c>
      <c r="X10" s="141" t="e">
        <f>IF(W10=1,-1,IRR($W$2:W10))</f>
        <v>#NUM!</v>
      </c>
      <c r="AB10" s="155">
        <v>6</v>
      </c>
      <c r="AC10" s="105" t="s">
        <v>131</v>
      </c>
      <c r="AD10" s="150">
        <v>5.0220862313169059</v>
      </c>
      <c r="AE10" s="150">
        <v>10.422241268568918</v>
      </c>
      <c r="AF10" s="150">
        <v>16.12401930940263</v>
      </c>
      <c r="AG10" s="150">
        <v>24.373149680006577</v>
      </c>
      <c r="AH10" s="150">
        <v>47.164231694651249</v>
      </c>
      <c r="AI10" s="150">
        <v>74.539121442882646</v>
      </c>
      <c r="AJ10" s="150">
        <v>121.63171786466151</v>
      </c>
      <c r="AK10" s="150">
        <v>254.14043946743055</v>
      </c>
      <c r="AL10" s="151">
        <v>5.7112619360260197</v>
      </c>
      <c r="AM10" s="157">
        <v>-36.778509232836363</v>
      </c>
      <c r="AN10" s="158">
        <v>-62.063820676018679</v>
      </c>
      <c r="AO10" s="168">
        <f t="shared" ref="AO10:AQ14" si="5">ABS(IF($AK10&gt;0,0.1*($AM10*LN(0.1)+($AN10-$AM10))-0.001*($AM10*LN(0.001)+($AN10-$AM10)),0.1*($AN10*LN(0.1)+($AN10-$AM10))-0.004*($AM10*LN(0.004)+($AN10-$AM10))))-1/AO$2*($AM10*LN(1/AO$2)+($AN10-$AM10))</f>
        <v>5.6074576676479566</v>
      </c>
      <c r="AP10" s="168">
        <f t="shared" si="5"/>
        <v>-1.070221199764406</v>
      </c>
      <c r="AQ10" s="168">
        <f t="shared" si="5"/>
        <v>-0.22877162986303645</v>
      </c>
      <c r="AR10" s="168">
        <f t="shared" si="4"/>
        <v>1.4665991540845695</v>
      </c>
      <c r="AS10" s="168">
        <f t="shared" si="4"/>
        <v>3.339400680405519</v>
      </c>
      <c r="AT10" s="168">
        <f t="shared" si="4"/>
        <v>4.270402108416385</v>
      </c>
      <c r="AU10" s="168">
        <f t="shared" si="4"/>
        <v>5.0001187764133821</v>
      </c>
      <c r="AV10" s="168">
        <f t="shared" si="4"/>
        <v>5.4824903061629833</v>
      </c>
    </row>
    <row r="11" spans="5:48" x14ac:dyDescent="0.25">
      <c r="E11" s="103" t="str">
        <f>'hyöty-vahinkoarviot'!$B$29</f>
        <v>Valmiustoimet</v>
      </c>
      <c r="F11" s="104">
        <f>G12</f>
        <v>0</v>
      </c>
      <c r="G11" s="104">
        <f>F11-H11</f>
        <v>0</v>
      </c>
      <c r="H11" s="104">
        <f>L9</f>
        <v>0</v>
      </c>
      <c r="I11" s="104">
        <f>I12+H12</f>
        <v>0</v>
      </c>
      <c r="J11" s="105"/>
      <c r="K11" s="106"/>
      <c r="P11" s="142">
        <v>9</v>
      </c>
      <c r="Q11" s="139">
        <f>IF('kustannus-hyötyarviot'!$D$26-'kustannus-hyötyarviot'!$H$14&lt;0,1,'kustannus-hyötyarviot'!$D$26-'kustannus-hyötyarviot'!$H$14)</f>
        <v>0</v>
      </c>
      <c r="R11" s="141" t="e">
        <f>IF(Q11=1,-1,IRR(Q$2:$Q11))</f>
        <v>#NUM!</v>
      </c>
      <c r="S11" s="142">
        <v>9</v>
      </c>
      <c r="T11" s="139">
        <f>IF('kustannus-hyötyarviot'!$H$28-'kustannus-hyötyarviot'!$H$14&lt;0,1,'kustannus-hyötyarviot'!$H$28-'kustannus-hyötyarviot'!$H$14)</f>
        <v>210000</v>
      </c>
      <c r="U11" s="141">
        <f>IF(T11=1,-1,IRR($T$2:T11))</f>
        <v>209999.99999837292</v>
      </c>
      <c r="V11" s="142">
        <v>9</v>
      </c>
      <c r="W11" s="139">
        <f>IF('kustannus-hyötyarviot'!$D$30-'kustannus-hyötyarviot'!$H$14&lt;0,1,'kustannus-hyötyarviot'!$D$30-'kustannus-hyötyarviot'!$H$14)</f>
        <v>0</v>
      </c>
      <c r="X11" s="141" t="e">
        <f>IF(W11=1,-1,IRR($W$2:W11))</f>
        <v>#NUM!</v>
      </c>
      <c r="AB11" s="155">
        <v>7</v>
      </c>
      <c r="AC11" s="105" t="s">
        <v>132</v>
      </c>
      <c r="AD11" s="150">
        <v>7.7802076325756992E-3</v>
      </c>
      <c r="AE11" s="150">
        <v>4.3817833573665525E-2</v>
      </c>
      <c r="AF11" s="150">
        <v>1.3952756157286101E-2</v>
      </c>
      <c r="AG11" s="150">
        <v>5.6811126908554765</v>
      </c>
      <c r="AH11" s="150">
        <v>6.4575967210206908</v>
      </c>
      <c r="AI11" s="150">
        <v>10.669479031597332</v>
      </c>
      <c r="AJ11" s="150">
        <v>15.957523977237168</v>
      </c>
      <c r="AK11" s="150">
        <v>27.268310322976998</v>
      </c>
      <c r="AL11" s="151">
        <v>0.68266840608198343</v>
      </c>
      <c r="AM11" s="157">
        <v>-4.3759397710915318</v>
      </c>
      <c r="AN11" s="158">
        <v>-7.352717966437643</v>
      </c>
      <c r="AO11" s="168">
        <f t="shared" si="5"/>
        <v>0.65447234643892527</v>
      </c>
      <c r="AP11" s="168">
        <f t="shared" si="5"/>
        <v>-0.13053662887337625</v>
      </c>
      <c r="AQ11" s="168">
        <f t="shared" si="5"/>
        <v>-2.7251142858919275E-2</v>
      </c>
      <c r="AR11" s="168">
        <f t="shared" si="4"/>
        <v>0.1760501158799207</v>
      </c>
      <c r="AS11" s="168">
        <f t="shared" si="4"/>
        <v>0.39982842889134468</v>
      </c>
      <c r="AT11" s="168">
        <f t="shared" si="4"/>
        <v>0.5109167143403418</v>
      </c>
      <c r="AU11" s="168">
        <f t="shared" si="4"/>
        <v>0.59792919716336401</v>
      </c>
      <c r="AV11" s="168">
        <f t="shared" si="4"/>
        <v>0.65541726322306415</v>
      </c>
    </row>
    <row r="12" spans="5:48" ht="17.25" customHeight="1" thickBot="1" x14ac:dyDescent="0.3">
      <c r="E12" s="103" t="str">
        <f>'hyöty-vahinkoarviot'!$B$27</f>
        <v>Toiminta tulvatilanteessa</v>
      </c>
      <c r="F12" s="104">
        <f>G13</f>
        <v>0</v>
      </c>
      <c r="G12" s="104">
        <f>F12-H12</f>
        <v>0</v>
      </c>
      <c r="H12" s="104">
        <f>L8</f>
        <v>0</v>
      </c>
      <c r="I12" s="104">
        <f>I13+H13</f>
        <v>0</v>
      </c>
      <c r="J12" s="105"/>
      <c r="K12" s="106"/>
      <c r="P12" s="142">
        <v>10</v>
      </c>
      <c r="Q12" s="139">
        <f>IF('kustannus-hyötyarviot'!$D$26-'kustannus-hyötyarviot'!$H$14&lt;0,1,'kustannus-hyötyarviot'!$D$26-'kustannus-hyötyarviot'!$H$14)</f>
        <v>0</v>
      </c>
      <c r="R12" s="141" t="e">
        <f>IF(Q12=1,-1,IRR(Q$2:$Q12))</f>
        <v>#NUM!</v>
      </c>
      <c r="S12" s="142">
        <v>10</v>
      </c>
      <c r="T12" s="139">
        <f>IF('kustannus-hyötyarviot'!$H$28-'kustannus-hyötyarviot'!$H$14&lt;0,1,'kustannus-hyötyarviot'!$H$28-'kustannus-hyötyarviot'!$H$14)</f>
        <v>210000</v>
      </c>
      <c r="U12" s="141">
        <f>IF(T12=1,-1,IRR($T$2:T12))</f>
        <v>209999.99999837292</v>
      </c>
      <c r="V12" s="142">
        <v>10</v>
      </c>
      <c r="W12" s="139">
        <f>IF('kustannus-hyötyarviot'!$D$30-'kustannus-hyötyarviot'!$H$14&lt;0,1,'kustannus-hyötyarviot'!$D$30-'kustannus-hyötyarviot'!$H$14)</f>
        <v>0</v>
      </c>
      <c r="X12" s="141" t="e">
        <f>IF(W12=1,-1,IRR($W$2:W12))</f>
        <v>#NUM!</v>
      </c>
      <c r="AB12" s="155">
        <v>8</v>
      </c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59"/>
      <c r="AO12" s="168">
        <f t="shared" si="5"/>
        <v>0</v>
      </c>
      <c r="AP12" s="168">
        <f t="shared" si="5"/>
        <v>0</v>
      </c>
      <c r="AQ12" s="168">
        <f t="shared" si="5"/>
        <v>0</v>
      </c>
      <c r="AR12" s="168">
        <f t="shared" si="4"/>
        <v>0</v>
      </c>
      <c r="AS12" s="168">
        <f t="shared" si="4"/>
        <v>0</v>
      </c>
      <c r="AT12" s="168">
        <f t="shared" si="4"/>
        <v>0</v>
      </c>
      <c r="AU12" s="168">
        <f t="shared" si="4"/>
        <v>0</v>
      </c>
      <c r="AV12" s="168">
        <f t="shared" si="4"/>
        <v>0</v>
      </c>
    </row>
    <row r="13" spans="5:48" ht="15.75" thickBot="1" x14ac:dyDescent="0.3">
      <c r="E13" s="107" t="str">
        <f>'hyöty-vahinkoarviot'!$B$25</f>
        <v>Kiinteät rakenteet</v>
      </c>
      <c r="F13" s="108">
        <f>lähtötiedot!D12</f>
        <v>0</v>
      </c>
      <c r="G13" s="108">
        <f>F13-H13</f>
        <v>0</v>
      </c>
      <c r="H13" s="108">
        <f>L7</f>
        <v>0</v>
      </c>
      <c r="I13" s="108">
        <v>0</v>
      </c>
      <c r="J13" s="109"/>
      <c r="K13" s="110"/>
      <c r="P13" s="142">
        <v>11</v>
      </c>
      <c r="Q13" s="139">
        <f>IF('kustannus-hyötyarviot'!$D$26-'kustannus-hyötyarviot'!$H$14&lt;0,1,'kustannus-hyötyarviot'!$D$26-'kustannus-hyötyarviot'!$H$14)</f>
        <v>0</v>
      </c>
      <c r="R13" s="141" t="e">
        <f>IF(Q13=1,-1,IRR(Q$2:$Q13))</f>
        <v>#NUM!</v>
      </c>
      <c r="S13" s="142">
        <v>11</v>
      </c>
      <c r="T13" s="139">
        <f>IF('kustannus-hyötyarviot'!$H$28-'kustannus-hyötyarviot'!$H$14&lt;0,1,'kustannus-hyötyarviot'!$H$28-'kustannus-hyötyarviot'!$H$14)</f>
        <v>210000</v>
      </c>
      <c r="U13" s="141">
        <f>IF(T13=1,-1,IRR($T$2:T13))</f>
        <v>209999.99999837292</v>
      </c>
      <c r="V13" s="142">
        <v>11</v>
      </c>
      <c r="W13" s="139">
        <f>IF('kustannus-hyötyarviot'!$D$30-'kustannus-hyötyarviot'!$H$14&lt;0,1,'kustannus-hyötyarviot'!$D$30-'kustannus-hyötyarviot'!$H$14)</f>
        <v>0</v>
      </c>
      <c r="X13" s="141" t="e">
        <f>IF(W13=1,-1,IRR($W$2:W13))</f>
        <v>#NUM!</v>
      </c>
      <c r="AB13" s="155">
        <v>9</v>
      </c>
      <c r="AC13" s="105" t="s">
        <v>133</v>
      </c>
      <c r="AD13" s="150">
        <v>7.5272848428050007E-3</v>
      </c>
      <c r="AE13" s="150">
        <v>0.17658617282608532</v>
      </c>
      <c r="AF13" s="150">
        <v>0.15766664594012564</v>
      </c>
      <c r="AG13" s="150">
        <v>0.18545330562215923</v>
      </c>
      <c r="AH13" s="150">
        <v>9.0405392062301946</v>
      </c>
      <c r="AI13" s="150">
        <v>16.220141796843656</v>
      </c>
      <c r="AJ13" s="150">
        <v>33.654291169784457</v>
      </c>
      <c r="AK13" s="150">
        <v>53.755252736405225</v>
      </c>
      <c r="AL13" s="151">
        <v>1.1299506911166486</v>
      </c>
      <c r="AM13" s="157">
        <v>-8.7596481473879884</v>
      </c>
      <c r="AN13" s="158">
        <v>-17.108368627752178</v>
      </c>
      <c r="AO13" s="168">
        <f t="shared" si="5"/>
        <v>2.2684482232691776</v>
      </c>
      <c r="AP13" s="168">
        <f t="shared" si="5"/>
        <v>-1.9927178408385204E-2</v>
      </c>
      <c r="AQ13" s="168">
        <f t="shared" si="5"/>
        <v>-5.2160785251781361E-2</v>
      </c>
      <c r="AR13" s="168">
        <f t="shared" si="4"/>
        <v>0.23530868212947686</v>
      </c>
      <c r="AS13" s="168">
        <f t="shared" si="4"/>
        <v>0.61156619928317546</v>
      </c>
      <c r="AT13" s="168">
        <f t="shared" si="4"/>
        <v>0.81004119103932071</v>
      </c>
      <c r="AU13" s="168">
        <f t="shared" si="4"/>
        <v>0.96988135343799653</v>
      </c>
      <c r="AV13" s="168">
        <f t="shared" si="4"/>
        <v>1.0777899058648672</v>
      </c>
    </row>
    <row r="14" spans="5:48" ht="15.75" thickBot="1" x14ac:dyDescent="0.3">
      <c r="P14" s="142">
        <v>12</v>
      </c>
      <c r="Q14" s="139">
        <f>IF('kustannus-hyötyarviot'!$D$26-'kustannus-hyötyarviot'!$H$14&lt;0,1,'kustannus-hyötyarviot'!$D$26-'kustannus-hyötyarviot'!$H$14)</f>
        <v>0</v>
      </c>
      <c r="R14" s="141" t="e">
        <f>IF(Q14=1,-1,IRR(Q$2:$Q14))</f>
        <v>#NUM!</v>
      </c>
      <c r="S14" s="142">
        <v>12</v>
      </c>
      <c r="T14" s="139">
        <f>IF('kustannus-hyötyarviot'!$H$28-'kustannus-hyötyarviot'!$H$14&lt;0,1,'kustannus-hyötyarviot'!$H$28-'kustannus-hyötyarviot'!$H$14)</f>
        <v>210000</v>
      </c>
      <c r="U14" s="141">
        <f>IF(T14=1,-1,IRR($T$2:T14))</f>
        <v>209999.99999347681</v>
      </c>
      <c r="V14" s="142">
        <v>12</v>
      </c>
      <c r="W14" s="139">
        <f>IF('kustannus-hyötyarviot'!$D$30-'kustannus-hyötyarviot'!$H$14&lt;0,1,'kustannus-hyötyarviot'!$D$30-'kustannus-hyötyarviot'!$H$14)</f>
        <v>0</v>
      </c>
      <c r="X14" s="141" t="e">
        <f>IF(W14=1,-1,IRR($W$2:W14))</f>
        <v>#NUM!</v>
      </c>
      <c r="AB14" s="155">
        <v>10</v>
      </c>
      <c r="AC14" s="105" t="s">
        <v>134</v>
      </c>
      <c r="AD14" s="150">
        <v>0.27385365699847714</v>
      </c>
      <c r="AE14" s="150">
        <v>0.62426647575065064</v>
      </c>
      <c r="AF14" s="150">
        <v>1.1795959727295968</v>
      </c>
      <c r="AG14" s="150">
        <v>1.1937012656120702</v>
      </c>
      <c r="AH14" s="150">
        <v>1.7856958651271853</v>
      </c>
      <c r="AI14" s="150">
        <v>2.0911203170509571</v>
      </c>
      <c r="AJ14" s="150">
        <v>2.9394536434401619</v>
      </c>
      <c r="AK14" s="150">
        <v>4.3115521276141395</v>
      </c>
      <c r="AL14" s="151">
        <v>0.15900539802033103</v>
      </c>
      <c r="AM14" s="157">
        <v>-0.62043353789565203</v>
      </c>
      <c r="AN14" s="158">
        <v>-0.41405879535243173</v>
      </c>
      <c r="AO14" s="168">
        <f t="shared" si="5"/>
        <v>-0.15920785200988069</v>
      </c>
      <c r="AP14" s="168">
        <f t="shared" si="5"/>
        <v>-8.1979402095289311E-2</v>
      </c>
      <c r="AQ14" s="168">
        <f t="shared" si="5"/>
        <v>-4.4921777891994696E-3</v>
      </c>
      <c r="AR14" s="168">
        <f t="shared" si="4"/>
        <v>5.5754022239705631E-2</v>
      </c>
      <c r="AS14" s="168">
        <f t="shared" si="4"/>
        <v>0.1063348976977273</v>
      </c>
      <c r="AT14" s="168">
        <f t="shared" si="4"/>
        <v>0.12836963028385714</v>
      </c>
      <c r="AU14" s="168">
        <f t="shared" si="4"/>
        <v>0.14447710092367078</v>
      </c>
      <c r="AV14" s="168">
        <f t="shared" si="4"/>
        <v>0.15451322023113157</v>
      </c>
    </row>
    <row r="15" spans="5:48" ht="15.75" thickBot="1" x14ac:dyDescent="0.3">
      <c r="P15" s="142">
        <v>13</v>
      </c>
      <c r="Q15" s="139">
        <f>IF('kustannus-hyötyarviot'!$D$26-'kustannus-hyötyarviot'!$H$14&lt;0,1,'kustannus-hyötyarviot'!$D$26-'kustannus-hyötyarviot'!$H$14)</f>
        <v>0</v>
      </c>
      <c r="R15" s="141" t="e">
        <f>IF(Q15=1,-1,IRR(Q$2:$Q15))</f>
        <v>#NUM!</v>
      </c>
      <c r="S15" s="142">
        <v>13</v>
      </c>
      <c r="T15" s="139">
        <f>IF('kustannus-hyötyarviot'!$H$28-'kustannus-hyötyarviot'!$H$14&lt;0,1,'kustannus-hyötyarviot'!$H$28-'kustannus-hyötyarviot'!$H$14)</f>
        <v>210000</v>
      </c>
      <c r="U15" s="141">
        <f>IF(T15=1,-1,IRR($T$2:T15))</f>
        <v>209999.99997389229</v>
      </c>
      <c r="V15" s="142">
        <v>13</v>
      </c>
      <c r="W15" s="139">
        <f>IF('kustannus-hyötyarviot'!$D$30-'kustannus-hyötyarviot'!$H$14&lt;0,1,'kustannus-hyötyarviot'!$D$30-'kustannus-hyötyarviot'!$H$14)</f>
        <v>0</v>
      </c>
      <c r="X15" s="141" t="e">
        <f>IF(W15=1,-1,IRR($W$2:W15))</f>
        <v>#NUM!</v>
      </c>
      <c r="AB15" s="155">
        <v>11</v>
      </c>
      <c r="AC15" s="105" t="s">
        <v>135</v>
      </c>
      <c r="AD15" s="150"/>
      <c r="AE15" s="150"/>
      <c r="AF15" s="150"/>
      <c r="AG15" s="150">
        <v>0.1453842526107465</v>
      </c>
      <c r="AH15" s="150">
        <v>7.8144111542862218</v>
      </c>
      <c r="AI15" s="150">
        <v>13.18445476078864</v>
      </c>
      <c r="AJ15" s="150">
        <v>26.422374527190499</v>
      </c>
      <c r="AK15" s="150">
        <v>50.196063651319839</v>
      </c>
      <c r="AL15" s="151">
        <v>1.37835477722206E-2</v>
      </c>
      <c r="AM15" s="157">
        <v>-12.850612135392236</v>
      </c>
      <c r="AN15" s="158">
        <v>-41.981697568079781</v>
      </c>
      <c r="AO15" s="168">
        <v>0</v>
      </c>
      <c r="AP15" s="168">
        <v>0</v>
      </c>
      <c r="AQ15" s="168">
        <v>0</v>
      </c>
      <c r="AR15" s="168">
        <f t="shared" si="4"/>
        <v>-0.45451185603935662</v>
      </c>
      <c r="AS15" s="168">
        <f t="shared" si="4"/>
        <v>-0.40903254972379932</v>
      </c>
      <c r="AT15" s="168">
        <f t="shared" si="4"/>
        <v>-0.28669815667695475</v>
      </c>
      <c r="AU15" s="168">
        <f t="shared" si="4"/>
        <v>-0.15350872120172737</v>
      </c>
      <c r="AV15" s="168">
        <f t="shared" si="4"/>
        <v>-4.5854250611499482E-2</v>
      </c>
    </row>
    <row r="16" spans="5:48" ht="15.75" thickBot="1" x14ac:dyDescent="0.3">
      <c r="P16" s="142">
        <v>14</v>
      </c>
      <c r="Q16" s="139">
        <f>IF('kustannus-hyötyarviot'!$D$26-'kustannus-hyötyarviot'!$H$14&lt;0,1,'kustannus-hyötyarviot'!$D$26-'kustannus-hyötyarviot'!$H$14)</f>
        <v>0</v>
      </c>
      <c r="R16" s="141" t="e">
        <f>IF(Q16=1,-1,IRR(Q$2:$Q16))</f>
        <v>#NUM!</v>
      </c>
      <c r="S16" s="142">
        <v>14</v>
      </c>
      <c r="T16" s="139">
        <f>IF('kustannus-hyötyarviot'!$H$28-'kustannus-hyötyarviot'!$H$14&lt;0,1,'kustannus-hyötyarviot'!$H$28-'kustannus-hyötyarviot'!$H$14)</f>
        <v>210000</v>
      </c>
      <c r="U16" s="141">
        <f>IF(T16=1,-1,IRR($T$2:T16))</f>
        <v>209999.99989065807</v>
      </c>
      <c r="V16" s="142">
        <v>14</v>
      </c>
      <c r="W16" s="139">
        <f>IF('kustannus-hyötyarviot'!$D$30-'kustannus-hyötyarviot'!$H$14&lt;0,1,'kustannus-hyötyarviot'!$D$30-'kustannus-hyötyarviot'!$H$14)</f>
        <v>0</v>
      </c>
      <c r="X16" s="141" t="e">
        <f>IF(W16=1,-1,IRR($W$2:W16))</f>
        <v>#NUM!</v>
      </c>
      <c r="AB16" s="155">
        <v>12</v>
      </c>
      <c r="AC16" s="105" t="s">
        <v>136</v>
      </c>
      <c r="AD16" s="150">
        <v>0.12704173503268035</v>
      </c>
      <c r="AE16" s="150">
        <v>0.48570121384314513</v>
      </c>
      <c r="AF16" s="150">
        <v>0.92975742771908076</v>
      </c>
      <c r="AG16" s="150">
        <v>1.5145574420073695</v>
      </c>
      <c r="AH16" s="150">
        <v>3.7610411785161748</v>
      </c>
      <c r="AI16" s="150">
        <v>6.978736867977144</v>
      </c>
      <c r="AJ16" s="150">
        <v>13.518382574288843</v>
      </c>
      <c r="AK16" s="150">
        <v>27.505086516304225</v>
      </c>
      <c r="AL16" s="151">
        <v>0.55200533604699753</v>
      </c>
      <c r="AM16" s="157">
        <v>-4.0875427608775183</v>
      </c>
      <c r="AN16" s="158">
        <v>-7.7335066162887864</v>
      </c>
      <c r="AO16" s="168">
        <f>ABS(IF($AK16&gt;0,0.1*($AM16*LN(0.1)+($AN16-$AM16))-0.001*($AM16*LN(0.001)+($AN16-$AM16)),0.1*($AN16*LN(0.1)+($AN16-$AM16))-0.004*($AM16*LN(0.004)+($AN16-$AM16))))-1/AO$2*($AM16*LN(1/AO$2)+($AN16-$AM16))</f>
        <v>0.95835289369239829</v>
      </c>
      <c r="AP16" s="168">
        <f>ABS(IF($AK16&gt;0,0.1*($AM16*LN(0.1)+($AN16-$AM16))-0.001*($AM16*LN(0.001)+($AN16-$AM16)),0.1*($AN16*LN(0.1)+($AN16-$AM16))-0.004*($AM16*LN(0.004)+($AN16-$AM16))))-1/AP$2*($AM16*LN(1/AP$2)+($AN16-$AM16))</f>
        <v>-3.4531150481115325E-2</v>
      </c>
      <c r="AQ16" s="168">
        <f>ABS(IF($AK16&gt;0,0.1*($AM16*LN(0.1)+($AN16-$AM16))-0.001*($AM16*LN(0.001)+($AN16-$AM16)),0.1*($AN16*LN(0.1)+($AN16-$AM16))-0.004*($AM16*LN(0.004)+($AN16-$AM16))))-1/AQ$2*($AM16*LN(1/AQ$2)+($AN16-$AM16))</f>
        <v>-2.4589781229105601E-2</v>
      </c>
      <c r="AR16" s="168">
        <f t="shared" si="4"/>
        <v>0.12204434040292261</v>
      </c>
      <c r="AS16" s="168">
        <f t="shared" si="4"/>
        <v>0.30511338683074024</v>
      </c>
      <c r="AT16" s="168">
        <f t="shared" si="4"/>
        <v>0.40022667403766421</v>
      </c>
      <c r="AU16" s="168">
        <f t="shared" si="4"/>
        <v>0.47631236105153874</v>
      </c>
      <c r="AV16" s="168">
        <f t="shared" si="4"/>
        <v>0.52741555481789193</v>
      </c>
    </row>
    <row r="17" spans="16:48" x14ac:dyDescent="0.25">
      <c r="P17" s="142">
        <v>15</v>
      </c>
      <c r="Q17" s="139">
        <f>IF('kustannus-hyötyarviot'!$D$26-'kustannus-hyötyarviot'!$H$14&lt;0,1,'kustannus-hyötyarviot'!$D$26-'kustannus-hyötyarviot'!$H$14)</f>
        <v>0</v>
      </c>
      <c r="R17" s="141" t="e">
        <f>IF(Q17=1,-1,IRR(Q$2:$Q17))</f>
        <v>#NUM!</v>
      </c>
      <c r="S17" s="142">
        <v>15</v>
      </c>
      <c r="T17" s="139">
        <f>IF('kustannus-hyötyarviot'!$H$28-'kustannus-hyötyarviot'!$H$14&lt;0,1,'kustannus-hyötyarviot'!$H$28-'kustannus-hyötyarviot'!$H$14)</f>
        <v>210000</v>
      </c>
      <c r="U17" s="141">
        <f>IF(T17=1,-1,IRR($T$2:T17))</f>
        <v>209999.99961157865</v>
      </c>
      <c r="V17" s="142">
        <v>15</v>
      </c>
      <c r="W17" s="139">
        <f>IF('kustannus-hyötyarviot'!$D$30-'kustannus-hyötyarviot'!$H$14&lt;0,1,'kustannus-hyötyarviot'!$D$30-'kustannus-hyötyarviot'!$H$14)</f>
        <v>0</v>
      </c>
      <c r="X17" s="141" t="e">
        <f>IF(W17=1,-1,IRR($W$2:W17))</f>
        <v>#NUM!</v>
      </c>
      <c r="AB17" s="155">
        <v>13</v>
      </c>
      <c r="AC17" s="105" t="s">
        <v>137</v>
      </c>
      <c r="AD17" s="150"/>
      <c r="AE17" s="150"/>
      <c r="AF17" s="150"/>
      <c r="AG17" s="150">
        <v>1.5755684667562528</v>
      </c>
      <c r="AH17" s="150">
        <v>2.5319256019514174</v>
      </c>
      <c r="AI17" s="150">
        <v>7.3866817152881126</v>
      </c>
      <c r="AJ17" s="150">
        <v>20.933761247369556</v>
      </c>
      <c r="AK17" s="150">
        <v>31.798466559952253</v>
      </c>
      <c r="AL17" s="151">
        <v>8.7849339028828119E-3</v>
      </c>
      <c r="AM17" s="157">
        <v>-8.4405860871090148</v>
      </c>
      <c r="AN17" s="158">
        <v>-27.57186084299758</v>
      </c>
      <c r="AO17" s="168">
        <v>0</v>
      </c>
      <c r="AP17" s="168">
        <v>0</v>
      </c>
      <c r="AQ17" s="168">
        <v>0</v>
      </c>
      <c r="AR17" s="168">
        <f t="shared" si="4"/>
        <v>-0.29893813574585254</v>
      </c>
      <c r="AS17" s="168">
        <f t="shared" si="4"/>
        <v>-0.26898491002068992</v>
      </c>
      <c r="AT17" s="168">
        <f t="shared" si="4"/>
        <v>-0.18860567254443467</v>
      </c>
      <c r="AU17" s="168">
        <f t="shared" si="4"/>
        <v>-0.1011074318888599</v>
      </c>
      <c r="AV17" s="168">
        <f t="shared" si="4"/>
        <v>-3.0389294442159098E-2</v>
      </c>
    </row>
    <row r="18" spans="16:48" ht="15.75" thickBot="1" x14ac:dyDescent="0.3">
      <c r="P18" s="142">
        <v>16</v>
      </c>
      <c r="Q18" s="139">
        <f>IF('kustannus-hyötyarviot'!$D$26-'kustannus-hyötyarviot'!$H$14&lt;0,1,'kustannus-hyötyarviot'!$D$26-'kustannus-hyötyarviot'!$H$14)</f>
        <v>0</v>
      </c>
      <c r="R18" s="141" t="e">
        <f>IF(Q18=1,-1,IRR(Q$2:$Q18))</f>
        <v>#NUM!</v>
      </c>
      <c r="S18" s="142">
        <v>16</v>
      </c>
      <c r="T18" s="139">
        <f>IF('kustannus-hyötyarviot'!$H$28-'kustannus-hyötyarviot'!$H$14&lt;0,1,'kustannus-hyötyarviot'!$H$28-'kustannus-hyötyarviot'!$H$14)</f>
        <v>210000</v>
      </c>
      <c r="U18" s="141">
        <f>IF(T18=1,-1,IRR($T$2:T18))</f>
        <v>209999.99885267849</v>
      </c>
      <c r="V18" s="142">
        <v>16</v>
      </c>
      <c r="W18" s="139">
        <f>IF('kustannus-hyötyarviot'!$D$30-'kustannus-hyötyarviot'!$H$14&lt;0,1,'kustannus-hyötyarviot'!$D$30-'kustannus-hyötyarviot'!$H$14)</f>
        <v>0</v>
      </c>
      <c r="X18" s="141" t="e">
        <f>IF(W18=1,-1,IRR($W$2:W18))</f>
        <v>#NUM!</v>
      </c>
      <c r="AB18" s="155">
        <v>14</v>
      </c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59"/>
      <c r="AO18" s="168">
        <f>ABS(IF($AK18&gt;0,0.1*($AM18*LN(0.1)+($AN18-$AM18))-0.001*($AM18*LN(0.001)+($AN18-$AM18)),0.1*($AN18*LN(0.1)+($AN18-$AM18))-0.004*($AM18*LN(0.004)+($AN18-$AM18))))-1/AO$2*($AM18*LN(1/AO$2)+($AN18-$AM18))</f>
        <v>0</v>
      </c>
      <c r="AP18" s="168">
        <f>ABS(IF($AK18&gt;0,0.1*($AM18*LN(0.1)+($AN18-$AM18))-0.001*($AM18*LN(0.001)+($AN18-$AM18)),0.1*($AN18*LN(0.1)+($AN18-$AM18))-0.004*($AM18*LN(0.004)+($AN18-$AM18))))-1/AP$2*($AM18*LN(1/AP$2)+($AN18-$AM18))</f>
        <v>0</v>
      </c>
      <c r="AQ18" s="168">
        <f>ABS(IF($AK18&gt;0,0.1*($AM18*LN(0.1)+($AN18-$AM18))-0.001*($AM18*LN(0.001)+($AN18-$AM18)),0.1*($AN18*LN(0.1)+($AN18-$AM18))-0.004*($AM18*LN(0.004)+($AN18-$AM18))))-1/AQ$2*($AM18*LN(1/AQ$2)+($AN18-$AM18))</f>
        <v>0</v>
      </c>
      <c r="AR18" s="168">
        <f t="shared" si="4"/>
        <v>0</v>
      </c>
      <c r="AS18" s="168">
        <f t="shared" si="4"/>
        <v>0</v>
      </c>
      <c r="AT18" s="168">
        <f t="shared" si="4"/>
        <v>0</v>
      </c>
      <c r="AU18" s="168">
        <f t="shared" si="4"/>
        <v>0</v>
      </c>
      <c r="AV18" s="168">
        <f t="shared" si="4"/>
        <v>0</v>
      </c>
    </row>
    <row r="19" spans="16:48" x14ac:dyDescent="0.25">
      <c r="P19" s="142">
        <v>17</v>
      </c>
      <c r="Q19" s="139">
        <f>IF('kustannus-hyötyarviot'!$D$26-'kustannus-hyötyarviot'!$H$14&lt;0,1,'kustannus-hyötyarviot'!$D$26-'kustannus-hyötyarviot'!$H$14)</f>
        <v>0</v>
      </c>
      <c r="R19" s="141" t="e">
        <f>IF(Q19=1,-1,IRR(Q$2:$Q19))</f>
        <v>#NUM!</v>
      </c>
      <c r="S19" s="142">
        <v>17</v>
      </c>
      <c r="T19" s="139">
        <f>IF('kustannus-hyötyarviot'!$H$28-'kustannus-hyötyarviot'!$H$14&lt;0,1,'kustannus-hyötyarviot'!$H$28-'kustannus-hyötyarviot'!$H$14)</f>
        <v>210000</v>
      </c>
      <c r="U19" s="141">
        <f>IF(T19=1,-1,IRR($T$2:T19))</f>
        <v>209999.99705579874</v>
      </c>
      <c r="V19" s="142">
        <v>17</v>
      </c>
      <c r="W19" s="139">
        <f>IF('kustannus-hyötyarviot'!$D$30-'kustannus-hyötyarviot'!$H$14&lt;0,1,'kustannus-hyötyarviot'!$D$30-'kustannus-hyötyarviot'!$H$14)</f>
        <v>0</v>
      </c>
      <c r="X19" s="141" t="e">
        <f>IF(W19=1,-1,IRR($W$2:W19))</f>
        <v>#NUM!</v>
      </c>
      <c r="AB19" s="155">
        <v>15</v>
      </c>
      <c r="AC19" s="105" t="s">
        <v>138</v>
      </c>
      <c r="AD19" s="150"/>
      <c r="AE19" s="150"/>
      <c r="AF19" s="150"/>
      <c r="AG19" s="150">
        <v>0.12645064787183805</v>
      </c>
      <c r="AH19" s="150">
        <v>0.15396454902670093</v>
      </c>
      <c r="AI19" s="150">
        <v>0.26851561602809837</v>
      </c>
      <c r="AJ19" s="150">
        <v>4.4030421207479957</v>
      </c>
      <c r="AK19" s="150">
        <v>6.8837832612473617</v>
      </c>
      <c r="AL19" s="151">
        <v>5.7604877111945597E-2</v>
      </c>
      <c r="AM19" s="157">
        <v>-1.9244945528409962</v>
      </c>
      <c r="AN19" s="158">
        <v>-6.8481530033175391</v>
      </c>
      <c r="AO19" s="168">
        <v>0</v>
      </c>
      <c r="AP19" s="168">
        <v>0</v>
      </c>
      <c r="AQ19" s="168">
        <v>0</v>
      </c>
      <c r="AR19" s="168">
        <f t="shared" ref="AR19:AV30" si="6">ABS(IF($AK19&gt;0,0.1*($AM19*LN(0.1)+($AN19-$AM19))-0.001*($AM19*LN(0.001)+($AN19-$AM19)),0.1*($AN19*LN(0.1)+($AN19-$AM19))-0.004*($AM19*LN(0.004)+($AN19-$AM19))))-1/AR$2*($AM19*LN(1/AR$2)+($AN19-$AM19))</f>
        <v>1.5524277524541309E-2</v>
      </c>
      <c r="AS19" s="168">
        <f t="shared" si="6"/>
        <v>5.5047068307738437E-3</v>
      </c>
      <c r="AT19" s="168">
        <f t="shared" si="6"/>
        <v>1.8215212238312642E-2</v>
      </c>
      <c r="AU19" s="168">
        <f t="shared" si="6"/>
        <v>3.4795425073250411E-2</v>
      </c>
      <c r="AV19" s="168">
        <f t="shared" si="6"/>
        <v>4.9234598155662383E-2</v>
      </c>
    </row>
    <row r="20" spans="16:48" ht="15.75" thickBot="1" x14ac:dyDescent="0.3">
      <c r="P20" s="142">
        <v>18</v>
      </c>
      <c r="Q20" s="139">
        <f>IF('kustannus-hyötyarviot'!$D$26-'kustannus-hyötyarviot'!$H$14&lt;0,1,'kustannus-hyötyarviot'!$D$26-'kustannus-hyötyarviot'!$H$14)</f>
        <v>0</v>
      </c>
      <c r="R20" s="141" t="e">
        <f>IF(Q20=1,-1,IRR(Q$2:$Q20))</f>
        <v>#NUM!</v>
      </c>
      <c r="S20" s="142">
        <v>18</v>
      </c>
      <c r="T20" s="139">
        <f>IF('kustannus-hyötyarviot'!$H$28-'kustannus-hyötyarviot'!$H$14&lt;0,1,'kustannus-hyötyarviot'!$H$28-'kustannus-hyötyarviot'!$H$14)</f>
        <v>210000</v>
      </c>
      <c r="U20" s="141">
        <f>IF(T20=1,-1,IRR($T$2:T20))</f>
        <v>209999.99330046706</v>
      </c>
      <c r="V20" s="142">
        <v>18</v>
      </c>
      <c r="W20" s="139">
        <f>IF('kustannus-hyötyarviot'!$D$30-'kustannus-hyötyarviot'!$H$14&lt;0,1,'kustannus-hyötyarviot'!$D$30-'kustannus-hyötyarviot'!$H$14)</f>
        <v>0</v>
      </c>
      <c r="X20" s="141" t="e">
        <f>IF(W20=1,-1,IRR($W$2:W20))</f>
        <v>#NUM!</v>
      </c>
      <c r="AB20" s="155">
        <v>16</v>
      </c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59"/>
      <c r="AO20" s="168">
        <f>ABS(IF($AK20&gt;0,0.1*($AM20*LN(0.1)+($AN20-$AM20))-0.001*($AM20*LN(0.001)+($AN20-$AM20)),0.1*($AN20*LN(0.1)+($AN20-$AM20))-0.004*($AM20*LN(0.004)+($AN20-$AM20))))-1/AO$2*($AM20*LN(1/AO$2)+($AN20-$AM20))</f>
        <v>0</v>
      </c>
      <c r="AP20" s="168">
        <f>ABS(IF($AK20&gt;0,0.1*($AM20*LN(0.1)+($AN20-$AM20))-0.001*($AM20*LN(0.001)+($AN20-$AM20)),0.1*($AN20*LN(0.1)+($AN20-$AM20))-0.004*($AM20*LN(0.004)+($AN20-$AM20))))-1/AP$2*($AM20*LN(1/AP$2)+($AN20-$AM20))</f>
        <v>0</v>
      </c>
      <c r="AQ20" s="168">
        <f>ABS(IF($AK20&gt;0,0.1*($AM20*LN(0.1)+($AN20-$AM20))-0.001*($AM20*LN(0.001)+($AN20-$AM20)),0.1*($AN20*LN(0.1)+($AN20-$AM20))-0.004*($AM20*LN(0.004)+($AN20-$AM20))))-1/AQ$2*($AM20*LN(1/AQ$2)+($AN20-$AM20))</f>
        <v>0</v>
      </c>
      <c r="AR20" s="168">
        <f t="shared" si="6"/>
        <v>0</v>
      </c>
      <c r="AS20" s="168">
        <f t="shared" si="6"/>
        <v>0</v>
      </c>
      <c r="AT20" s="168">
        <f t="shared" si="6"/>
        <v>0</v>
      </c>
      <c r="AU20" s="168">
        <f t="shared" si="6"/>
        <v>0</v>
      </c>
      <c r="AV20" s="168">
        <f t="shared" si="6"/>
        <v>0</v>
      </c>
    </row>
    <row r="21" spans="16:48" ht="15.75" thickBot="1" x14ac:dyDescent="0.3">
      <c r="P21" s="142">
        <v>19</v>
      </c>
      <c r="Q21" s="139">
        <f>IF('kustannus-hyötyarviot'!$D$26-'kustannus-hyötyarviot'!$H$14&lt;0,1,'kustannus-hyötyarviot'!$D$26-'kustannus-hyötyarviot'!$H$14)</f>
        <v>0</v>
      </c>
      <c r="R21" s="141" t="e">
        <f>IF(Q21=1,-1,IRR(Q$2:$Q21))</f>
        <v>#NUM!</v>
      </c>
      <c r="S21" s="142">
        <v>19</v>
      </c>
      <c r="T21" s="139">
        <f>IF('kustannus-hyötyarviot'!$H$28-'kustannus-hyötyarviot'!$H$14&lt;0,1,'kustannus-hyötyarviot'!$H$28-'kustannus-hyötyarviot'!$H$14)</f>
        <v>210000</v>
      </c>
      <c r="U21" s="141">
        <f>IF(T21=1,-1,IRR($T$2:T21))</f>
        <v>209999.98619128676</v>
      </c>
      <c r="V21" s="142">
        <v>19</v>
      </c>
      <c r="W21" s="139">
        <f>IF('kustannus-hyötyarviot'!$D$30-'kustannus-hyötyarviot'!$H$14&lt;0,1,'kustannus-hyötyarviot'!$D$30-'kustannus-hyötyarviot'!$H$14)</f>
        <v>0</v>
      </c>
      <c r="X21" s="141" t="e">
        <f>IF(W21=1,-1,IRR($W$2:W21))</f>
        <v>#NUM!</v>
      </c>
      <c r="AB21" s="155">
        <v>17</v>
      </c>
      <c r="AC21" s="105" t="s">
        <v>139</v>
      </c>
      <c r="AD21" s="150"/>
      <c r="AE21" s="150"/>
      <c r="AF21" s="150"/>
      <c r="AG21" s="150">
        <v>1.6112659530356481</v>
      </c>
      <c r="AH21" s="150">
        <v>2.6469996746779936</v>
      </c>
      <c r="AI21" s="150">
        <v>5.0550988216782882</v>
      </c>
      <c r="AJ21" s="150">
        <v>99.355699624612484</v>
      </c>
      <c r="AK21" s="150">
        <v>155.98622273952287</v>
      </c>
      <c r="AL21" s="151">
        <v>1.4235860167202046</v>
      </c>
      <c r="AM21" s="157">
        <v>-43.926172223403789</v>
      </c>
      <c r="AN21" s="158">
        <v>-157.40627024409446</v>
      </c>
      <c r="AO21" s="168">
        <v>0</v>
      </c>
      <c r="AP21" s="168">
        <v>0</v>
      </c>
      <c r="AQ21" s="168">
        <v>0</v>
      </c>
      <c r="AR21" s="168">
        <f t="shared" si="6"/>
        <v>0.51803832858765841</v>
      </c>
      <c r="AS21" s="168">
        <f t="shared" si="6"/>
        <v>0.25638405156692934</v>
      </c>
      <c r="AT21" s="168">
        <f t="shared" si="6"/>
        <v>0.53551200984913772</v>
      </c>
      <c r="AU21" s="168">
        <f t="shared" si="6"/>
        <v>0.90735983599172643</v>
      </c>
      <c r="AV21" s="168">
        <f t="shared" si="6"/>
        <v>1.2336348666791992</v>
      </c>
    </row>
    <row r="22" spans="16:48" ht="15.75" thickBot="1" x14ac:dyDescent="0.3">
      <c r="P22" s="142">
        <v>20</v>
      </c>
      <c r="Q22" s="139">
        <f>IF('kustannus-hyötyarviot'!$D$26-'kustannus-hyötyarviot'!$H$14&lt;0,1,'kustannus-hyötyarviot'!$D$26-'kustannus-hyötyarviot'!$H$14)</f>
        <v>0</v>
      </c>
      <c r="R22" s="141" t="e">
        <f>IF(Q22=1,-1,IRR(Q$2:$Q22))</f>
        <v>#NUM!</v>
      </c>
      <c r="S22" s="142">
        <v>20</v>
      </c>
      <c r="T22" s="139">
        <f>IF('kustannus-hyötyarviot'!$H$28-'kustannus-hyötyarviot'!$H$14&lt;0,1,'kustannus-hyötyarviot'!$H$28-'kustannus-hyötyarviot'!$H$14)</f>
        <v>210000</v>
      </c>
      <c r="U22" s="141">
        <f>IF(T22=1,-1,IRR($T$2:T22))</f>
        <v>209999.99999837292</v>
      </c>
      <c r="V22" s="142">
        <v>20</v>
      </c>
      <c r="W22" s="139">
        <f>IF('kustannus-hyötyarviot'!$D$30-'kustannus-hyötyarviot'!$H$14&lt;0,1,'kustannus-hyötyarviot'!$D$30-'kustannus-hyötyarviot'!$H$14)</f>
        <v>0</v>
      </c>
      <c r="X22" s="141" t="e">
        <f>IF(W22=1,-1,IRR($W$2:W22))</f>
        <v>#NUM!</v>
      </c>
      <c r="AB22" s="155">
        <v>18</v>
      </c>
      <c r="AC22" s="105" t="s">
        <v>140</v>
      </c>
      <c r="AD22" s="150"/>
      <c r="AE22" s="150"/>
      <c r="AF22" s="150"/>
      <c r="AG22" s="150">
        <v>4.8179799534876742E-2</v>
      </c>
      <c r="AH22" s="150">
        <v>0.11637040615424295</v>
      </c>
      <c r="AI22" s="150">
        <v>0.54991858769806301</v>
      </c>
      <c r="AJ22" s="150">
        <v>14.939763193292551</v>
      </c>
      <c r="AK22" s="150">
        <v>29.988743231979917</v>
      </c>
      <c r="AL22" s="151">
        <v>0.34115797521322516</v>
      </c>
      <c r="AM22" s="157">
        <v>-8.2060575160358926</v>
      </c>
      <c r="AN22" s="158">
        <v>-30.165523263054038</v>
      </c>
      <c r="AO22" s="168">
        <v>0</v>
      </c>
      <c r="AP22" s="168">
        <v>0</v>
      </c>
      <c r="AQ22" s="168">
        <v>0</v>
      </c>
      <c r="AR22" s="168">
        <f t="shared" si="6"/>
        <v>0.20997369559268136</v>
      </c>
      <c r="AS22" s="168">
        <f t="shared" si="6"/>
        <v>0.13830157442160879</v>
      </c>
      <c r="AT22" s="168">
        <f t="shared" si="6"/>
        <v>0.18284971850988679</v>
      </c>
      <c r="AU22" s="168">
        <f t="shared" si="6"/>
        <v>0.24775813474321007</v>
      </c>
      <c r="AV22" s="168">
        <f t="shared" si="6"/>
        <v>0.30643200383421532</v>
      </c>
    </row>
    <row r="23" spans="16:48" ht="15.75" thickBot="1" x14ac:dyDescent="0.3">
      <c r="P23" s="142">
        <v>21</v>
      </c>
      <c r="Q23" s="139">
        <f>IF('kustannus-hyötyarviot'!$D$26-'kustannus-hyötyarviot'!$H$14&lt;0,1,'kustannus-hyötyarviot'!$D$26-'kustannus-hyötyarviot'!$H$14)</f>
        <v>0</v>
      </c>
      <c r="R23" s="141" t="e">
        <f>IF(Q23=1,-1,IRR(Q$2:$Q23))</f>
        <v>#NUM!</v>
      </c>
      <c r="S23" s="142">
        <v>21</v>
      </c>
      <c r="T23" s="139">
        <f>IF('kustannus-hyötyarviot'!$H$28-'kustannus-hyötyarviot'!$H$14&lt;0,1,'kustannus-hyötyarviot'!$H$28-'kustannus-hyötyarviot'!$H$14)</f>
        <v>210000</v>
      </c>
      <c r="U23" s="141">
        <f>IF(T23=1,-1,IRR($T$2:T23))</f>
        <v>209999.99999837292</v>
      </c>
      <c r="V23" s="142">
        <v>21</v>
      </c>
      <c r="W23" s="139">
        <f>IF('kustannus-hyötyarviot'!$D$30-'kustannus-hyötyarviot'!$H$14&lt;0,1,'kustannus-hyötyarviot'!$D$30-'kustannus-hyötyarviot'!$H$14)</f>
        <v>0</v>
      </c>
      <c r="X23" s="141" t="e">
        <f>IF(W23=1,-1,IRR($W$2:W23))</f>
        <v>#NUM!</v>
      </c>
      <c r="AB23" s="155">
        <v>19</v>
      </c>
      <c r="AC23" s="105" t="s">
        <v>141</v>
      </c>
      <c r="AD23" s="150"/>
      <c r="AE23" s="150"/>
      <c r="AF23" s="150"/>
      <c r="AG23" s="150">
        <v>2.9557553829348522</v>
      </c>
      <c r="AH23" s="150">
        <v>8.629062713717456</v>
      </c>
      <c r="AI23" s="150">
        <v>14.236433449190733</v>
      </c>
      <c r="AJ23" s="150">
        <v>25.024276548032912</v>
      </c>
      <c r="AK23" s="150">
        <v>42.301934643698836</v>
      </c>
      <c r="AL23" s="151">
        <v>0.29236367945909142</v>
      </c>
      <c r="AM23" s="157">
        <v>-10.230182818320145</v>
      </c>
      <c r="AN23" s="158">
        <v>-30.357004704981591</v>
      </c>
      <c r="AO23" s="168">
        <v>0</v>
      </c>
      <c r="AP23" s="168">
        <v>0</v>
      </c>
      <c r="AQ23" s="168">
        <v>0</v>
      </c>
      <c r="AR23" s="168">
        <f t="shared" si="6"/>
        <v>-0.23363966786779539</v>
      </c>
      <c r="AS23" s="168">
        <f t="shared" si="6"/>
        <v>-0.10551409350776281</v>
      </c>
      <c r="AT23" s="168">
        <f t="shared" si="6"/>
        <v>2.2514569204350299E-2</v>
      </c>
      <c r="AU23" s="168">
        <f t="shared" si="6"/>
        <v>0.14692874854997509</v>
      </c>
      <c r="AV23" s="168">
        <f t="shared" si="6"/>
        <v>0.24182290197754952</v>
      </c>
    </row>
    <row r="24" spans="16:48" ht="15.75" thickBot="1" x14ac:dyDescent="0.3">
      <c r="P24" s="142">
        <v>22</v>
      </c>
      <c r="Q24" s="139">
        <f>IF('kustannus-hyötyarviot'!$D$26-'kustannus-hyötyarviot'!$H$14&lt;0,1,'kustannus-hyötyarviot'!$D$26-'kustannus-hyötyarviot'!$H$14)</f>
        <v>0</v>
      </c>
      <c r="R24" s="141" t="e">
        <f>IF(Q24=1,-1,IRR(Q$2:$Q24))</f>
        <v>#NUM!</v>
      </c>
      <c r="S24" s="142">
        <v>22</v>
      </c>
      <c r="T24" s="139">
        <f>IF('kustannus-hyötyarviot'!$H$28-'kustannus-hyötyarviot'!$H$14&lt;0,1,'kustannus-hyötyarviot'!$H$28-'kustannus-hyötyarviot'!$H$14)</f>
        <v>210000</v>
      </c>
      <c r="U24" s="141">
        <f>IF(T24=1,-1,IRR($T$2:T24))</f>
        <v>209999.99999837292</v>
      </c>
      <c r="V24" s="142">
        <v>22</v>
      </c>
      <c r="W24" s="139">
        <f>IF('kustannus-hyötyarviot'!$D$30-'kustannus-hyötyarviot'!$H$14&lt;0,1,'kustannus-hyötyarviot'!$D$30-'kustannus-hyötyarviot'!$H$14)</f>
        <v>0</v>
      </c>
      <c r="X24" s="141" t="e">
        <f>IF(W24=1,-1,IRR($W$2:W24))</f>
        <v>#NUM!</v>
      </c>
      <c r="AB24" s="155">
        <v>20</v>
      </c>
      <c r="AC24" s="105" t="s">
        <v>142</v>
      </c>
      <c r="AD24" s="150"/>
      <c r="AE24" s="150"/>
      <c r="AF24" s="150"/>
      <c r="AG24" s="150">
        <v>2.1755231427048178</v>
      </c>
      <c r="AH24" s="150">
        <v>13.791685730112192</v>
      </c>
      <c r="AI24" s="150">
        <v>48.162775104904895</v>
      </c>
      <c r="AJ24" s="150">
        <v>137.48884542789949</v>
      </c>
      <c r="AK24" s="150">
        <v>386.4698461120206</v>
      </c>
      <c r="AL24" s="151">
        <v>3.3684579794667457</v>
      </c>
      <c r="AM24" s="157">
        <v>-98.960134889859944</v>
      </c>
      <c r="AN24" s="158">
        <v>-356.24577857753343</v>
      </c>
      <c r="AO24" s="168">
        <v>0</v>
      </c>
      <c r="AP24" s="168">
        <v>0</v>
      </c>
      <c r="AQ24" s="168">
        <v>0</v>
      </c>
      <c r="AR24" s="168">
        <f t="shared" si="6"/>
        <v>1.4098366696099334</v>
      </c>
      <c r="AS24" s="168">
        <f t="shared" si="6"/>
        <v>0.77148436703212253</v>
      </c>
      <c r="AT24" s="168">
        <f t="shared" si="6"/>
        <v>1.3840317883820519</v>
      </c>
      <c r="AU24" s="168">
        <f t="shared" si="6"/>
        <v>2.2119824853344889</v>
      </c>
      <c r="AV24" s="168">
        <f t="shared" si="6"/>
        <v>2.942151228960205</v>
      </c>
    </row>
    <row r="25" spans="16:48" x14ac:dyDescent="0.25">
      <c r="P25" s="142">
        <v>23</v>
      </c>
      <c r="Q25" s="139">
        <f>IF('kustannus-hyötyarviot'!$D$26-'kustannus-hyötyarviot'!$H$14&lt;0,1,'kustannus-hyötyarviot'!$D$26-'kustannus-hyötyarviot'!$H$14)</f>
        <v>0</v>
      </c>
      <c r="R25" s="141" t="e">
        <f>IF(Q25=1,-1,IRR(Q$2:$Q25))</f>
        <v>#NUM!</v>
      </c>
      <c r="S25" s="142">
        <v>23</v>
      </c>
      <c r="T25" s="139">
        <f>IF('kustannus-hyötyarviot'!$H$28-'kustannus-hyötyarviot'!$H$14&lt;0,1,'kustannus-hyötyarviot'!$H$28-'kustannus-hyötyarviot'!$H$14)</f>
        <v>210000</v>
      </c>
      <c r="U25" s="141">
        <f>IF(T25=1,-1,IRR($T$2:T25))</f>
        <v>209999.99999837292</v>
      </c>
      <c r="V25" s="142">
        <v>23</v>
      </c>
      <c r="W25" s="139">
        <f>IF('kustannus-hyötyarviot'!$D$30-'kustannus-hyötyarviot'!$H$14&lt;0,1,'kustannus-hyötyarviot'!$D$30-'kustannus-hyötyarviot'!$H$14)</f>
        <v>0</v>
      </c>
      <c r="X25" s="141" t="e">
        <f>IF(W25=1,-1,IRR($W$2:W25))</f>
        <v>#NUM!</v>
      </c>
      <c r="AB25" s="155">
        <v>21</v>
      </c>
      <c r="AC25" s="105" t="s">
        <v>143</v>
      </c>
      <c r="AD25" s="150">
        <v>7.1704987172088119E-2</v>
      </c>
      <c r="AE25" s="150">
        <v>8.1505363947492332E-2</v>
      </c>
      <c r="AF25" s="150">
        <v>8.3378498924078628E-2</v>
      </c>
      <c r="AG25" s="150">
        <v>1.2875787878592351</v>
      </c>
      <c r="AH25" s="150">
        <v>2.6259735217849762</v>
      </c>
      <c r="AI25" s="150">
        <v>3.4306248352025079</v>
      </c>
      <c r="AJ25" s="150">
        <v>5.9723593718114625</v>
      </c>
      <c r="AK25" s="150">
        <v>13.411566947033657</v>
      </c>
      <c r="AL25" s="151">
        <v>0.27254692049142187</v>
      </c>
      <c r="AM25" s="157">
        <v>-1.9772554146634789</v>
      </c>
      <c r="AN25" s="158">
        <v>-3.6850793264274095</v>
      </c>
      <c r="AO25" s="168">
        <f t="shared" ref="AO25:AQ30" si="7">ABS(IF($AK25&gt;0,0.1*($AM25*LN(0.1)+($AN25-$AM25))-0.001*($AM25*LN(0.001)+($AN25-$AM25)),0.1*($AN25*LN(0.1)+($AN25-$AM25))-0.004*($AM25*LN(0.004)+($AN25-$AM25))))-1/AO$2*($AM25*LN(1/AO$2)+($AN25-$AM25))</f>
        <v>0.44119436841294929</v>
      </c>
      <c r="AP25" s="168">
        <f t="shared" si="7"/>
        <v>-2.2342262540794189E-2</v>
      </c>
      <c r="AQ25" s="168">
        <f t="shared" si="7"/>
        <v>-1.1950572616773736E-2</v>
      </c>
      <c r="AR25" s="168">
        <f t="shared" si="6"/>
        <v>6.1771723141280266E-2</v>
      </c>
      <c r="AS25" s="168">
        <f t="shared" si="6"/>
        <v>0.15200202533128254</v>
      </c>
      <c r="AT25" s="168">
        <f t="shared" si="6"/>
        <v>0.19856918275214344</v>
      </c>
      <c r="AU25" s="168">
        <f t="shared" si="6"/>
        <v>0.23570886215169395</v>
      </c>
      <c r="AV25" s="168">
        <f t="shared" si="6"/>
        <v>0.26059634787464814</v>
      </c>
    </row>
    <row r="26" spans="16:48" ht="15.75" thickBot="1" x14ac:dyDescent="0.3">
      <c r="P26" s="142">
        <v>24</v>
      </c>
      <c r="Q26" s="139">
        <f>IF('kustannus-hyötyarviot'!$D$26-'kustannus-hyötyarviot'!$H$14&lt;0,1,'kustannus-hyötyarviot'!$D$26-'kustannus-hyötyarviot'!$H$14)</f>
        <v>0</v>
      </c>
      <c r="R26" s="141" t="e">
        <f>IF(Q26=1,-1,IRR(Q$2:$Q26))</f>
        <v>#NUM!</v>
      </c>
      <c r="S26" s="142">
        <v>24</v>
      </c>
      <c r="T26" s="139">
        <f>IF('kustannus-hyötyarviot'!$H$28-'kustannus-hyötyarviot'!$H$14&lt;0,1,'kustannus-hyötyarviot'!$H$28-'kustannus-hyötyarviot'!$H$14)</f>
        <v>210000</v>
      </c>
      <c r="U26" s="141">
        <f>IF(T26=1,-1,IRR($T$2:T26))</f>
        <v>209999.99999837292</v>
      </c>
      <c r="V26" s="142">
        <v>24</v>
      </c>
      <c r="W26" s="139">
        <f>IF('kustannus-hyötyarviot'!$D$30-'kustannus-hyötyarviot'!$H$14&lt;0,1,'kustannus-hyötyarviot'!$D$30-'kustannus-hyötyarviot'!$H$14)</f>
        <v>0</v>
      </c>
      <c r="X26" s="141" t="e">
        <f>IF(W26=1,-1,IRR($W$2:W26))</f>
        <v>#NUM!</v>
      </c>
      <c r="AB26" s="155">
        <v>22</v>
      </c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59"/>
      <c r="AO26" s="168">
        <f t="shared" si="7"/>
        <v>0</v>
      </c>
      <c r="AP26" s="168">
        <f t="shared" si="7"/>
        <v>0</v>
      </c>
      <c r="AQ26" s="168">
        <f t="shared" si="7"/>
        <v>0</v>
      </c>
      <c r="AR26" s="168">
        <f t="shared" si="6"/>
        <v>0</v>
      </c>
      <c r="AS26" s="168">
        <f t="shared" si="6"/>
        <v>0</v>
      </c>
      <c r="AT26" s="168">
        <f t="shared" si="6"/>
        <v>0</v>
      </c>
      <c r="AU26" s="168">
        <f t="shared" si="6"/>
        <v>0</v>
      </c>
      <c r="AV26" s="168">
        <f t="shared" si="6"/>
        <v>0</v>
      </c>
    </row>
    <row r="27" spans="16:48" ht="15.75" thickBot="1" x14ac:dyDescent="0.3">
      <c r="P27" s="142">
        <v>25</v>
      </c>
      <c r="Q27" s="139">
        <f>IF('kustannus-hyötyarviot'!$D$26-'kustannus-hyötyarviot'!$H$14&lt;0,1,'kustannus-hyötyarviot'!$D$26-'kustannus-hyötyarviot'!$H$14)</f>
        <v>0</v>
      </c>
      <c r="R27" s="141" t="e">
        <f>IF(Q27=1,-1,IRR(Q$2:$Q27))</f>
        <v>#NUM!</v>
      </c>
      <c r="S27" s="142">
        <v>25</v>
      </c>
      <c r="T27" s="139">
        <f>IF('kustannus-hyötyarviot'!$H$28-'kustannus-hyötyarviot'!$H$14&lt;0,1,'kustannus-hyötyarviot'!$H$28-'kustannus-hyötyarviot'!$H$14)</f>
        <v>210000</v>
      </c>
      <c r="U27" s="141">
        <f>IF(T27=1,-1,IRR($T$2:T27))</f>
        <v>209999.99999837292</v>
      </c>
      <c r="V27" s="142">
        <v>25</v>
      </c>
      <c r="W27" s="139">
        <f>IF('kustannus-hyötyarviot'!$D$30-'kustannus-hyötyarviot'!$H$14&lt;0,1,'kustannus-hyötyarviot'!$D$30-'kustannus-hyötyarviot'!$H$14)</f>
        <v>0</v>
      </c>
      <c r="X27" s="141" t="e">
        <f>IF(W27=1,-1,IRR($W$2:W27))</f>
        <v>#NUM!</v>
      </c>
      <c r="AB27" s="155">
        <v>23</v>
      </c>
      <c r="AC27" s="105" t="s">
        <v>144</v>
      </c>
      <c r="AD27" s="150">
        <v>0.20491531948810815</v>
      </c>
      <c r="AE27" s="150">
        <v>2.4489773194015476</v>
      </c>
      <c r="AF27" s="150">
        <v>3.2766045336791949</v>
      </c>
      <c r="AG27" s="150">
        <v>4.912243142034832</v>
      </c>
      <c r="AH27" s="150">
        <v>6.0910029208713796</v>
      </c>
      <c r="AI27" s="150">
        <v>9.9825455547273112</v>
      </c>
      <c r="AJ27" s="150">
        <v>13.591576807770243</v>
      </c>
      <c r="AK27" s="150">
        <v>20.012955414122022</v>
      </c>
      <c r="AL27" s="151">
        <v>0.6532193912390647</v>
      </c>
      <c r="AM27" s="157">
        <v>-3.0956942137743253</v>
      </c>
      <c r="AN27" s="158">
        <v>-3.4816158867449278</v>
      </c>
      <c r="AO27" s="168">
        <f t="shared" si="7"/>
        <v>-0.22670563035233915</v>
      </c>
      <c r="AP27" s="168">
        <f t="shared" si="7"/>
        <v>-0.26606180075706953</v>
      </c>
      <c r="AQ27" s="168">
        <f t="shared" si="7"/>
        <v>-2.099837637434343E-2</v>
      </c>
      <c r="AR27" s="168">
        <f t="shared" si="6"/>
        <v>0.20882192162469004</v>
      </c>
      <c r="AS27" s="168">
        <f t="shared" si="6"/>
        <v>0.41872928505735763</v>
      </c>
      <c r="AT27" s="168">
        <f t="shared" si="6"/>
        <v>0.51451662098667705</v>
      </c>
      <c r="AU27" s="168">
        <f t="shared" si="6"/>
        <v>0.58639205947091821</v>
      </c>
      <c r="AV27" s="168">
        <f t="shared" si="6"/>
        <v>0.63222101486472126</v>
      </c>
    </row>
    <row r="28" spans="16:48" ht="15.75" thickBot="1" x14ac:dyDescent="0.3">
      <c r="P28" s="142">
        <v>26</v>
      </c>
      <c r="Q28" s="139">
        <f>IF('kustannus-hyötyarviot'!$D$26-'kustannus-hyötyarviot'!$H$14&lt;0,1,'kustannus-hyötyarviot'!$D$26-'kustannus-hyötyarviot'!$H$14)</f>
        <v>0</v>
      </c>
      <c r="R28" s="141" t="e">
        <f>IF(Q28=1,-1,IRR(Q$2:$Q28))</f>
        <v>#NUM!</v>
      </c>
      <c r="S28" s="142">
        <v>26</v>
      </c>
      <c r="T28" s="139">
        <f>IF('kustannus-hyötyarviot'!$H$28-'kustannus-hyötyarviot'!$H$14&lt;0,1,'kustannus-hyötyarviot'!$H$28-'kustannus-hyötyarviot'!$H$14)</f>
        <v>210000</v>
      </c>
      <c r="U28" s="141">
        <f>IF(T28=1,-1,IRR($T$2:T28))</f>
        <v>209999.99999837292</v>
      </c>
      <c r="V28" s="142">
        <v>26</v>
      </c>
      <c r="W28" s="139">
        <f>IF('kustannus-hyötyarviot'!$D$30-'kustannus-hyötyarviot'!$H$14&lt;0,1,'kustannus-hyötyarviot'!$D$30-'kustannus-hyötyarviot'!$H$14)</f>
        <v>0</v>
      </c>
      <c r="X28" s="141" t="e">
        <f>IF(W28=1,-1,IRR($W$2:W28))</f>
        <v>#NUM!</v>
      </c>
      <c r="AB28" s="155">
        <v>24</v>
      </c>
      <c r="AC28" s="105" t="s">
        <v>145</v>
      </c>
      <c r="AD28" s="150">
        <v>0.15162652012602479</v>
      </c>
      <c r="AE28" s="150">
        <v>0.32345545416056953</v>
      </c>
      <c r="AF28" s="150">
        <v>0.66895383425230481</v>
      </c>
      <c r="AG28" s="150">
        <v>3.148882040553092</v>
      </c>
      <c r="AH28" s="150">
        <v>7.052463756569848</v>
      </c>
      <c r="AI28" s="150">
        <v>10.35592935807338</v>
      </c>
      <c r="AJ28" s="150">
        <v>26.98854759270839</v>
      </c>
      <c r="AK28" s="150">
        <v>64.98273402437934</v>
      </c>
      <c r="AL28" s="151">
        <v>1.1208119074969494</v>
      </c>
      <c r="AM28" s="157">
        <v>-9.2453366009477467</v>
      </c>
      <c r="AN28" s="158">
        <v>-18.782114313042079</v>
      </c>
      <c r="AO28" s="168">
        <f t="shared" si="7"/>
        <v>2.6850112644068163</v>
      </c>
      <c r="AP28" s="168">
        <f t="shared" si="7"/>
        <v>5.2208402159831468E-2</v>
      </c>
      <c r="AQ28" s="168">
        <f t="shared" si="7"/>
        <v>-5.4327744999069338E-2</v>
      </c>
      <c r="AR28" s="168">
        <f t="shared" si="6"/>
        <v>0.21282313133521003</v>
      </c>
      <c r="AS28" s="168">
        <f t="shared" si="6"/>
        <v>0.58818807222214708</v>
      </c>
      <c r="AT28" s="168">
        <f t="shared" si="6"/>
        <v>0.79041619987680223</v>
      </c>
      <c r="AU28" s="168">
        <f t="shared" si="6"/>
        <v>0.95476795948686921</v>
      </c>
      <c r="AV28" s="168">
        <f t="shared" si="6"/>
        <v>1.06648416249788</v>
      </c>
    </row>
    <row r="29" spans="16:48" ht="15.75" thickBot="1" x14ac:dyDescent="0.3">
      <c r="P29" s="142">
        <v>27</v>
      </c>
      <c r="Q29" s="139">
        <f>IF('kustannus-hyötyarviot'!$D$26-'kustannus-hyötyarviot'!$H$14&lt;0,1,'kustannus-hyötyarviot'!$D$26-'kustannus-hyötyarviot'!$H$14)</f>
        <v>0</v>
      </c>
      <c r="R29" s="141" t="e">
        <f>IF(Q29=1,-1,IRR(Q$2:$Q29))</f>
        <v>#NUM!</v>
      </c>
      <c r="S29" s="142">
        <v>27</v>
      </c>
      <c r="T29" s="139">
        <f>IF('kustannus-hyötyarviot'!$H$28-'kustannus-hyötyarviot'!$H$14&lt;0,1,'kustannus-hyötyarviot'!$H$28-'kustannus-hyötyarviot'!$H$14)</f>
        <v>210000</v>
      </c>
      <c r="U29" s="141">
        <f>IF(T29=1,-1,IRR($T$2:T29))</f>
        <v>209999.99999837292</v>
      </c>
      <c r="V29" s="142">
        <v>27</v>
      </c>
      <c r="W29" s="139">
        <f>IF('kustannus-hyötyarviot'!$D$30-'kustannus-hyötyarviot'!$H$14&lt;0,1,'kustannus-hyötyarviot'!$D$30-'kustannus-hyötyarviot'!$H$14)</f>
        <v>0</v>
      </c>
      <c r="X29" s="141" t="e">
        <f>IF(W29=1,-1,IRR($W$2:W29))</f>
        <v>#NUM!</v>
      </c>
      <c r="AB29" s="155">
        <v>25</v>
      </c>
      <c r="AC29" s="105" t="s">
        <v>146</v>
      </c>
      <c r="AD29" s="150">
        <v>4.1053363736140002E-4</v>
      </c>
      <c r="AE29" s="150">
        <v>4.9980499310426996E-3</v>
      </c>
      <c r="AF29" s="150">
        <v>6.6433353147182628E-2</v>
      </c>
      <c r="AG29" s="150">
        <v>9.1508720831651472E-2</v>
      </c>
      <c r="AH29" s="150">
        <v>1.0968429319382598</v>
      </c>
      <c r="AI29" s="150">
        <v>2.8433487372602082</v>
      </c>
      <c r="AJ29" s="150">
        <v>6.3447497410684957</v>
      </c>
      <c r="AK29" s="150">
        <v>16.046257716719595</v>
      </c>
      <c r="AL29" s="151">
        <v>0.25704836143289894</v>
      </c>
      <c r="AM29" s="157">
        <v>-2.2903164464698955</v>
      </c>
      <c r="AN29" s="158">
        <v>-4.8609785053742049</v>
      </c>
      <c r="AO29" s="168">
        <f t="shared" si="7"/>
        <v>0.74861619715471317</v>
      </c>
      <c r="AP29" s="168">
        <f t="shared" si="7"/>
        <v>3.3956349129761726E-2</v>
      </c>
      <c r="AQ29" s="168">
        <f t="shared" si="7"/>
        <v>-1.3250283464737722E-2</v>
      </c>
      <c r="AR29" s="168">
        <f t="shared" si="6"/>
        <v>4.2522719611046533E-2</v>
      </c>
      <c r="AS29" s="168">
        <f t="shared" si="6"/>
        <v>0.12926619004497167</v>
      </c>
      <c r="AT29" s="168">
        <f t="shared" si="6"/>
        <v>0.17728201186432851</v>
      </c>
      <c r="AU29" s="168">
        <f t="shared" si="6"/>
        <v>0.2167474386736335</v>
      </c>
      <c r="AV29" s="168">
        <f t="shared" si="6"/>
        <v>0.24379807796816122</v>
      </c>
    </row>
    <row r="30" spans="16:48" ht="15.75" thickBot="1" x14ac:dyDescent="0.3">
      <c r="P30" s="142">
        <v>28</v>
      </c>
      <c r="Q30" s="139">
        <f>IF('kustannus-hyötyarviot'!$D$26-'kustannus-hyötyarviot'!$H$14&lt;0,1,'kustannus-hyötyarviot'!$D$26-'kustannus-hyötyarviot'!$H$14)</f>
        <v>0</v>
      </c>
      <c r="R30" s="141" t="e">
        <f>IF(Q30=1,-1,IRR(Q$2:$Q30))</f>
        <v>#NUM!</v>
      </c>
      <c r="S30" s="142">
        <v>28</v>
      </c>
      <c r="T30" s="139">
        <f>IF('kustannus-hyötyarviot'!$H$28-'kustannus-hyötyarviot'!$H$14&lt;0,1,'kustannus-hyötyarviot'!$H$28-'kustannus-hyötyarviot'!$H$14)</f>
        <v>210000</v>
      </c>
      <c r="U30" s="141">
        <f>IF(T30=1,-1,IRR($T$2:T30))</f>
        <v>209999.99999837292</v>
      </c>
      <c r="V30" s="142">
        <v>28</v>
      </c>
      <c r="W30" s="139">
        <f>IF('kustannus-hyötyarviot'!$D$30-'kustannus-hyötyarviot'!$H$14&lt;0,1,'kustannus-hyötyarviot'!$D$30-'kustannus-hyötyarviot'!$H$14)</f>
        <v>0</v>
      </c>
      <c r="X30" s="141" t="e">
        <f>IF(W30=1,-1,IRR($W$2:W30))</f>
        <v>#NUM!</v>
      </c>
      <c r="AB30" s="160">
        <v>26</v>
      </c>
      <c r="AC30" s="161" t="s">
        <v>147</v>
      </c>
      <c r="AD30" s="162">
        <v>0.28264546489734438</v>
      </c>
      <c r="AE30" s="162">
        <v>0.4012851386617397</v>
      </c>
      <c r="AF30" s="162">
        <v>0.52319295313980552</v>
      </c>
      <c r="AG30" s="162">
        <v>5.1317705077826048</v>
      </c>
      <c r="AH30" s="162">
        <v>6.6763903970284657</v>
      </c>
      <c r="AI30" s="162">
        <v>12.235367912641863</v>
      </c>
      <c r="AJ30" s="162">
        <v>15.17777715957059</v>
      </c>
      <c r="AK30" s="162">
        <v>75.194514964685567</v>
      </c>
      <c r="AL30" s="163">
        <v>1.1333003569960687</v>
      </c>
      <c r="AM30" s="164">
        <v>-9.6219962223523137</v>
      </c>
      <c r="AN30" s="165">
        <v>-19.882397782432886</v>
      </c>
      <c r="AO30" s="168">
        <f t="shared" si="7"/>
        <v>2.9287713605953796</v>
      </c>
      <c r="AP30" s="168">
        <f t="shared" si="7"/>
        <v>8.8179566301881618E-2</v>
      </c>
      <c r="AQ30" s="168">
        <f t="shared" si="7"/>
        <v>-5.6205993639219853E-2</v>
      </c>
      <c r="AR30" s="168">
        <f t="shared" si="6"/>
        <v>0.20507420403432675</v>
      </c>
      <c r="AS30" s="168">
        <f t="shared" si="6"/>
        <v>0.58567897659798074</v>
      </c>
      <c r="AT30" s="168">
        <f t="shared" si="6"/>
        <v>0.79279507126820525</v>
      </c>
      <c r="AU30" s="168">
        <f t="shared" si="6"/>
        <v>0.9618320588622451</v>
      </c>
      <c r="AV30" s="168">
        <f t="shared" si="6"/>
        <v>1.0770943633568488</v>
      </c>
    </row>
    <row r="31" spans="16:48" x14ac:dyDescent="0.25">
      <c r="P31" s="142">
        <v>29</v>
      </c>
      <c r="Q31" s="139">
        <f>IF('kustannus-hyötyarviot'!$D$26-'kustannus-hyötyarviot'!$H$14&lt;0,1,'kustannus-hyötyarviot'!$D$26-'kustannus-hyötyarviot'!$H$14)</f>
        <v>0</v>
      </c>
      <c r="R31" s="141" t="e">
        <f>IF(Q31=1,-1,IRR(Q$2:$Q31))</f>
        <v>#NUM!</v>
      </c>
      <c r="S31" s="142">
        <v>29</v>
      </c>
      <c r="T31" s="139">
        <f>IF('kustannus-hyötyarviot'!$H$28-'kustannus-hyötyarviot'!$H$14&lt;0,1,'kustannus-hyötyarviot'!$H$28-'kustannus-hyötyarviot'!$H$14)</f>
        <v>210000</v>
      </c>
      <c r="U31" s="141">
        <f>IF(T31=1,-1,IRR($T$2:T31))</f>
        <v>209999.99999837292</v>
      </c>
      <c r="V31" s="142">
        <v>29</v>
      </c>
      <c r="W31" s="139">
        <f>IF('kustannus-hyötyarviot'!$D$30-'kustannus-hyötyarviot'!$H$14&lt;0,1,'kustannus-hyötyarviot'!$D$30-'kustannus-hyötyarviot'!$H$14)</f>
        <v>0</v>
      </c>
      <c r="X31" s="141" t="e">
        <f>IF(W31=1,-1,IRR($W$2:W31))</f>
        <v>#NUM!</v>
      </c>
    </row>
    <row r="32" spans="16:48" x14ac:dyDescent="0.25">
      <c r="P32" s="142">
        <v>30</v>
      </c>
      <c r="Q32" s="139">
        <f>IF('kustannus-hyötyarviot'!$D$26-'kustannus-hyötyarviot'!$H$14&lt;0,1,'kustannus-hyötyarviot'!$D$26-'kustannus-hyötyarviot'!$H$14)</f>
        <v>0</v>
      </c>
      <c r="R32" s="141" t="e">
        <f>IF(Q32=1,-1,IRR(Q$2:$Q32))</f>
        <v>#NUM!</v>
      </c>
      <c r="S32" s="142">
        <v>30</v>
      </c>
      <c r="T32" s="139">
        <f>IF('kustannus-hyötyarviot'!$H$28-'kustannus-hyötyarviot'!$H$14&lt;0,1,'kustannus-hyötyarviot'!$H$28-'kustannus-hyötyarviot'!$H$14)</f>
        <v>210000</v>
      </c>
      <c r="U32" s="141">
        <f>IF(T32=1,-1,IRR($T$2:T32))</f>
        <v>209999.99999837292</v>
      </c>
      <c r="V32" s="142">
        <v>30</v>
      </c>
      <c r="W32" s="139">
        <f>IF('kustannus-hyötyarviot'!$D$30-'kustannus-hyötyarviot'!$H$14&lt;0,1,'kustannus-hyötyarviot'!$D$30-'kustannus-hyötyarviot'!$H$14)</f>
        <v>0</v>
      </c>
      <c r="X32" s="141" t="e">
        <f>IF(W32=1,-1,IRR($W$2:W32))</f>
        <v>#NUM!</v>
      </c>
    </row>
    <row r="33" spans="16:24" x14ac:dyDescent="0.25">
      <c r="P33" s="142">
        <v>31</v>
      </c>
      <c r="Q33" s="139">
        <f>IF('kustannus-hyötyarviot'!$D$26-'kustannus-hyötyarviot'!$H$14&lt;0,1,'kustannus-hyötyarviot'!$D$26-'kustannus-hyötyarviot'!$H$14)</f>
        <v>0</v>
      </c>
      <c r="R33" s="141" t="e">
        <f>IF(Q33=1,-1,IRR(Q$2:$Q33))</f>
        <v>#NUM!</v>
      </c>
      <c r="S33" s="142">
        <v>31</v>
      </c>
      <c r="T33" s="139">
        <f>IF('kustannus-hyötyarviot'!$H$28-'kustannus-hyötyarviot'!$H$14&lt;0,1,'kustannus-hyötyarviot'!$H$28-'kustannus-hyötyarviot'!$H$14)</f>
        <v>210000</v>
      </c>
      <c r="U33" s="141">
        <f>IF(T33=1,-1,IRR($T$2:T33))</f>
        <v>209999.99999837292</v>
      </c>
      <c r="V33" s="142">
        <v>31</v>
      </c>
      <c r="W33" s="139">
        <f>IF('kustannus-hyötyarviot'!$D$30-'kustannus-hyötyarviot'!$H$14&lt;0,1,'kustannus-hyötyarviot'!$D$30-'kustannus-hyötyarviot'!$H$14)</f>
        <v>0</v>
      </c>
      <c r="X33" s="141" t="e">
        <f>IF(W33=1,-1,IRR($W$2:W33))</f>
        <v>#NUM!</v>
      </c>
    </row>
    <row r="34" spans="16:24" x14ac:dyDescent="0.25">
      <c r="P34" s="142">
        <v>32</v>
      </c>
      <c r="Q34" s="139">
        <f>IF('kustannus-hyötyarviot'!$D$26-'kustannus-hyötyarviot'!$H$14&lt;0,1,'kustannus-hyötyarviot'!$D$26-'kustannus-hyötyarviot'!$H$14)</f>
        <v>0</v>
      </c>
      <c r="R34" s="141" t="e">
        <f>IF(Q34=1,-1,IRR(Q$2:$Q34))</f>
        <v>#NUM!</v>
      </c>
      <c r="S34" s="142">
        <v>32</v>
      </c>
      <c r="T34" s="139">
        <f>IF('kustannus-hyötyarviot'!$H$28-'kustannus-hyötyarviot'!$H$14&lt;0,1,'kustannus-hyötyarviot'!$H$28-'kustannus-hyötyarviot'!$H$14)</f>
        <v>210000</v>
      </c>
      <c r="U34" s="141">
        <f>IF(T34=1,-1,IRR($T$2:T34))</f>
        <v>209999.99999837292</v>
      </c>
      <c r="V34" s="142">
        <v>32</v>
      </c>
      <c r="W34" s="139">
        <f>IF('kustannus-hyötyarviot'!$D$30-'kustannus-hyötyarviot'!$H$14&lt;0,1,'kustannus-hyötyarviot'!$D$30-'kustannus-hyötyarviot'!$H$14)</f>
        <v>0</v>
      </c>
      <c r="X34" s="141" t="e">
        <f>IF(W34=1,-1,IRR($W$2:W34))</f>
        <v>#NUM!</v>
      </c>
    </row>
    <row r="35" spans="16:24" x14ac:dyDescent="0.25">
      <c r="P35" s="142">
        <v>33</v>
      </c>
      <c r="Q35" s="139">
        <f>IF('kustannus-hyötyarviot'!$D$26-'kustannus-hyötyarviot'!$H$14&lt;0,1,'kustannus-hyötyarviot'!$D$26-'kustannus-hyötyarviot'!$H$14)</f>
        <v>0</v>
      </c>
      <c r="R35" s="141" t="e">
        <f>IF(Q35=1,-1,IRR(Q$2:$Q35))</f>
        <v>#NUM!</v>
      </c>
      <c r="S35" s="142">
        <v>33</v>
      </c>
      <c r="T35" s="139">
        <f>IF('kustannus-hyötyarviot'!$H$28-'kustannus-hyötyarviot'!$H$14&lt;0,1,'kustannus-hyötyarviot'!$H$28-'kustannus-hyötyarviot'!$H$14)</f>
        <v>210000</v>
      </c>
      <c r="U35" s="141">
        <f>IF(T35=1,-1,IRR($T$2:T35))</f>
        <v>209999.99999837292</v>
      </c>
      <c r="V35" s="142">
        <v>33</v>
      </c>
      <c r="W35" s="139">
        <f>IF('kustannus-hyötyarviot'!$D$30-'kustannus-hyötyarviot'!$H$14&lt;0,1,'kustannus-hyötyarviot'!$D$30-'kustannus-hyötyarviot'!$H$14)</f>
        <v>0</v>
      </c>
      <c r="X35" s="141" t="e">
        <f>IF(W35=1,-1,IRR($W$2:W35))</f>
        <v>#NUM!</v>
      </c>
    </row>
    <row r="36" spans="16:24" x14ac:dyDescent="0.25">
      <c r="P36" s="142">
        <v>34</v>
      </c>
      <c r="Q36" s="139">
        <f>IF('kustannus-hyötyarviot'!$D$26-'kustannus-hyötyarviot'!$H$14&lt;0,1,'kustannus-hyötyarviot'!$D$26-'kustannus-hyötyarviot'!$H$14)</f>
        <v>0</v>
      </c>
      <c r="R36" s="141" t="e">
        <f>IF(Q36=1,-1,IRR(Q$2:$Q36))</f>
        <v>#NUM!</v>
      </c>
      <c r="S36" s="142">
        <v>34</v>
      </c>
      <c r="T36" s="139">
        <f>IF('kustannus-hyötyarviot'!$H$28-'kustannus-hyötyarviot'!$H$14&lt;0,1,'kustannus-hyötyarviot'!$H$28-'kustannus-hyötyarviot'!$H$14)</f>
        <v>210000</v>
      </c>
      <c r="U36" s="141">
        <f>IF(T36=1,-1,IRR($T$2:T36))</f>
        <v>209999.99999837292</v>
      </c>
      <c r="V36" s="142">
        <v>34</v>
      </c>
      <c r="W36" s="139">
        <f>IF('kustannus-hyötyarviot'!$D$30-'kustannus-hyötyarviot'!$H$14&lt;0,1,'kustannus-hyötyarviot'!$D$30-'kustannus-hyötyarviot'!$H$14)</f>
        <v>0</v>
      </c>
      <c r="X36" s="141" t="e">
        <f>IF(W36=1,-1,IRR($W$2:W36))</f>
        <v>#NUM!</v>
      </c>
    </row>
    <row r="37" spans="16:24" x14ac:dyDescent="0.25">
      <c r="P37" s="142">
        <v>35</v>
      </c>
      <c r="Q37" s="139">
        <f>IF('kustannus-hyötyarviot'!$D$26-'kustannus-hyötyarviot'!$H$14&lt;0,1,'kustannus-hyötyarviot'!$D$26-'kustannus-hyötyarviot'!$H$14)</f>
        <v>0</v>
      </c>
      <c r="R37" s="141" t="e">
        <f>IF(Q37=1,-1,IRR(Q$2:$Q37))</f>
        <v>#NUM!</v>
      </c>
      <c r="S37" s="142">
        <v>35</v>
      </c>
      <c r="T37" s="139">
        <f>IF('kustannus-hyötyarviot'!$H$28-'kustannus-hyötyarviot'!$H$14&lt;0,1,'kustannus-hyötyarviot'!$H$28-'kustannus-hyötyarviot'!$H$14)</f>
        <v>210000</v>
      </c>
      <c r="U37" s="141">
        <f>IF(T37=1,-1,IRR($T$2:T37))</f>
        <v>209999.99999837292</v>
      </c>
      <c r="V37" s="142">
        <v>35</v>
      </c>
      <c r="W37" s="139">
        <f>IF('kustannus-hyötyarviot'!$D$30-'kustannus-hyötyarviot'!$H$14&lt;0,1,'kustannus-hyötyarviot'!$D$30-'kustannus-hyötyarviot'!$H$14)</f>
        <v>0</v>
      </c>
      <c r="X37" s="141" t="e">
        <f>IF(W37=1,-1,IRR($W$2:W37))</f>
        <v>#NUM!</v>
      </c>
    </row>
    <row r="38" spans="16:24" x14ac:dyDescent="0.25">
      <c r="P38" s="142">
        <v>36</v>
      </c>
      <c r="Q38" s="139">
        <f>IF('kustannus-hyötyarviot'!$D$26-'kustannus-hyötyarviot'!$H$14&lt;0,1,'kustannus-hyötyarviot'!$D$26-'kustannus-hyötyarviot'!$H$14)</f>
        <v>0</v>
      </c>
      <c r="R38" s="141" t="e">
        <f>IF(Q38=1,-1,IRR(Q$2:$Q38))</f>
        <v>#NUM!</v>
      </c>
      <c r="S38" s="142">
        <v>36</v>
      </c>
      <c r="T38" s="139">
        <f>IF('kustannus-hyötyarviot'!$H$28-'kustannus-hyötyarviot'!$H$14&lt;0,1,'kustannus-hyötyarviot'!$H$28-'kustannus-hyötyarviot'!$H$14)</f>
        <v>210000</v>
      </c>
      <c r="U38" s="141">
        <f>IF(T38=1,-1,IRR($T$2:T38))</f>
        <v>209999.99999837292</v>
      </c>
      <c r="V38" s="142">
        <v>36</v>
      </c>
      <c r="W38" s="139">
        <f>IF('kustannus-hyötyarviot'!$D$30-'kustannus-hyötyarviot'!$H$14&lt;0,1,'kustannus-hyötyarviot'!$D$30-'kustannus-hyötyarviot'!$H$14)</f>
        <v>0</v>
      </c>
      <c r="X38" s="141" t="e">
        <f>IF(W38=1,-1,IRR($W$2:W38))</f>
        <v>#NUM!</v>
      </c>
    </row>
    <row r="39" spans="16:24" x14ac:dyDescent="0.25">
      <c r="P39" s="142">
        <v>37</v>
      </c>
      <c r="Q39" s="139">
        <f>IF('kustannus-hyötyarviot'!$D$26-'kustannus-hyötyarviot'!$H$14&lt;0,1,'kustannus-hyötyarviot'!$D$26-'kustannus-hyötyarviot'!$H$14)</f>
        <v>0</v>
      </c>
      <c r="R39" s="141" t="e">
        <f>IF(Q39=1,-1,IRR(Q$2:$Q39))</f>
        <v>#NUM!</v>
      </c>
      <c r="S39" s="142">
        <v>37</v>
      </c>
      <c r="T39" s="139">
        <f>IF('kustannus-hyötyarviot'!$H$28-'kustannus-hyötyarviot'!$H$14&lt;0,1,'kustannus-hyötyarviot'!$H$28-'kustannus-hyötyarviot'!$H$14)</f>
        <v>210000</v>
      </c>
      <c r="U39" s="141">
        <f>IF(T39=1,-1,IRR($T$2:T39))</f>
        <v>209999.99999837292</v>
      </c>
      <c r="V39" s="142">
        <v>37</v>
      </c>
      <c r="W39" s="139">
        <f>IF('kustannus-hyötyarviot'!$D$30-'kustannus-hyötyarviot'!$H$14&lt;0,1,'kustannus-hyötyarviot'!$D$30-'kustannus-hyötyarviot'!$H$14)</f>
        <v>0</v>
      </c>
      <c r="X39" s="141" t="e">
        <f>IF(W39=1,-1,IRR($W$2:W39))</f>
        <v>#NUM!</v>
      </c>
    </row>
    <row r="40" spans="16:24" x14ac:dyDescent="0.25">
      <c r="P40" s="142">
        <v>38</v>
      </c>
      <c r="Q40" s="139">
        <f>IF('kustannus-hyötyarviot'!$D$26-'kustannus-hyötyarviot'!$H$14&lt;0,1,'kustannus-hyötyarviot'!$D$26-'kustannus-hyötyarviot'!$H$14)</f>
        <v>0</v>
      </c>
      <c r="R40" s="141" t="e">
        <f>IF(Q40=1,-1,IRR(Q$2:$Q40))</f>
        <v>#NUM!</v>
      </c>
      <c r="S40" s="142">
        <v>38</v>
      </c>
      <c r="T40" s="139">
        <f>IF('kustannus-hyötyarviot'!$H$28-'kustannus-hyötyarviot'!$H$14&lt;0,1,'kustannus-hyötyarviot'!$H$28-'kustannus-hyötyarviot'!$H$14)</f>
        <v>210000</v>
      </c>
      <c r="U40" s="141">
        <f>IF(T40=1,-1,IRR($T$2:T40))</f>
        <v>209999.99999837292</v>
      </c>
      <c r="V40" s="142">
        <v>38</v>
      </c>
      <c r="W40" s="139">
        <f>IF('kustannus-hyötyarviot'!$D$30-'kustannus-hyötyarviot'!$H$14&lt;0,1,'kustannus-hyötyarviot'!$D$30-'kustannus-hyötyarviot'!$H$14)</f>
        <v>0</v>
      </c>
      <c r="X40" s="141" t="e">
        <f>IF(W40=1,-1,IRR($W$2:W40))</f>
        <v>#NUM!</v>
      </c>
    </row>
    <row r="41" spans="16:24" x14ac:dyDescent="0.25">
      <c r="P41" s="142">
        <v>39</v>
      </c>
      <c r="Q41" s="139">
        <f>IF('kustannus-hyötyarviot'!$D$26-'kustannus-hyötyarviot'!$H$14&lt;0,1,'kustannus-hyötyarviot'!$D$26-'kustannus-hyötyarviot'!$H$14)</f>
        <v>0</v>
      </c>
      <c r="R41" s="141" t="e">
        <f>IF(Q41=1,-1,IRR(Q$2:$Q41))</f>
        <v>#NUM!</v>
      </c>
      <c r="S41" s="142">
        <v>39</v>
      </c>
      <c r="T41" s="139">
        <f>IF('kustannus-hyötyarviot'!$H$28-'kustannus-hyötyarviot'!$H$14&lt;0,1,'kustannus-hyötyarviot'!$H$28-'kustannus-hyötyarviot'!$H$14)</f>
        <v>210000</v>
      </c>
      <c r="U41" s="141">
        <f>IF(T41=1,-1,IRR($T$2:T41))</f>
        <v>209999.99999837292</v>
      </c>
      <c r="V41" s="142">
        <v>39</v>
      </c>
      <c r="W41" s="139">
        <f>IF('kustannus-hyötyarviot'!$D$30-'kustannus-hyötyarviot'!$H$14&lt;0,1,'kustannus-hyötyarviot'!$D$30-'kustannus-hyötyarviot'!$H$14)</f>
        <v>0</v>
      </c>
      <c r="X41" s="141" t="e">
        <f>IF(W41=1,-1,IRR($W$2:W41))</f>
        <v>#NUM!</v>
      </c>
    </row>
    <row r="42" spans="16:24" x14ac:dyDescent="0.25">
      <c r="P42" s="142">
        <v>40</v>
      </c>
      <c r="Q42" s="139">
        <f>IF('kustannus-hyötyarviot'!$D$26-'kustannus-hyötyarviot'!$H$14&lt;0,1,'kustannus-hyötyarviot'!$D$26-'kustannus-hyötyarviot'!$H$14)</f>
        <v>0</v>
      </c>
      <c r="R42" s="141" t="e">
        <f>IF(Q42=1,-1,IRR(Q$2:$Q42))</f>
        <v>#NUM!</v>
      </c>
      <c r="S42" s="142">
        <v>40</v>
      </c>
      <c r="T42" s="139">
        <f>IF('kustannus-hyötyarviot'!$H$28-'kustannus-hyötyarviot'!$H$14&lt;0,1,'kustannus-hyötyarviot'!$H$28-'kustannus-hyötyarviot'!$H$14)</f>
        <v>210000</v>
      </c>
      <c r="U42" s="141">
        <f>IF(T42=1,-1,IRR($T$2:T42))</f>
        <v>209999.99999837292</v>
      </c>
      <c r="V42" s="142">
        <v>40</v>
      </c>
      <c r="W42" s="139">
        <f>IF('kustannus-hyötyarviot'!$D$30-'kustannus-hyötyarviot'!$H$14&lt;0,1,'kustannus-hyötyarviot'!$D$30-'kustannus-hyötyarviot'!$H$14)</f>
        <v>0</v>
      </c>
      <c r="X42" s="141" t="e">
        <f>IF(W42=1,-1,IRR($W$2:W42))</f>
        <v>#NUM!</v>
      </c>
    </row>
    <row r="43" spans="16:24" x14ac:dyDescent="0.25">
      <c r="P43" s="142">
        <v>41</v>
      </c>
      <c r="Q43" s="139">
        <f>IF('kustannus-hyötyarviot'!$D$26-'kustannus-hyötyarviot'!$H$14&lt;0,1,'kustannus-hyötyarviot'!$D$26-'kustannus-hyötyarviot'!$H$14)</f>
        <v>0</v>
      </c>
      <c r="R43" s="141" t="e">
        <f>IF(Q43=1,-1,IRR(Q$2:$Q43))</f>
        <v>#NUM!</v>
      </c>
      <c r="S43" s="142">
        <v>41</v>
      </c>
      <c r="T43" s="139">
        <f>IF('kustannus-hyötyarviot'!$H$28-'kustannus-hyötyarviot'!$H$14&lt;0,1,'kustannus-hyötyarviot'!$H$28-'kustannus-hyötyarviot'!$H$14)</f>
        <v>210000</v>
      </c>
      <c r="U43" s="141">
        <f>IF(T43=1,-1,IRR($T$2:T43))</f>
        <v>209999.99999837292</v>
      </c>
      <c r="V43" s="142">
        <v>41</v>
      </c>
      <c r="W43" s="139">
        <f>IF('kustannus-hyötyarviot'!$D$30-'kustannus-hyötyarviot'!$H$14&lt;0,1,'kustannus-hyötyarviot'!$D$30-'kustannus-hyötyarviot'!$H$14)</f>
        <v>0</v>
      </c>
      <c r="X43" s="141" t="e">
        <f>IF(W43=1,-1,IRR($W$2:W43))</f>
        <v>#NUM!</v>
      </c>
    </row>
    <row r="44" spans="16:24" x14ac:dyDescent="0.25">
      <c r="P44" s="142">
        <v>42</v>
      </c>
      <c r="Q44" s="139">
        <f>IF('kustannus-hyötyarviot'!$D$26-'kustannus-hyötyarviot'!$H$14&lt;0,1,'kustannus-hyötyarviot'!$D$26-'kustannus-hyötyarviot'!$H$14)</f>
        <v>0</v>
      </c>
      <c r="R44" s="141" t="e">
        <f>IF(Q44=1,-1,IRR(Q$2:$Q44))</f>
        <v>#NUM!</v>
      </c>
      <c r="S44" s="142">
        <v>42</v>
      </c>
      <c r="T44" s="139">
        <f>IF('kustannus-hyötyarviot'!$H$28-'kustannus-hyötyarviot'!$H$14&lt;0,1,'kustannus-hyötyarviot'!$H$28-'kustannus-hyötyarviot'!$H$14)</f>
        <v>210000</v>
      </c>
      <c r="U44" s="141">
        <f>IF(T44=1,-1,IRR($T$2:T44))</f>
        <v>209999.99999837292</v>
      </c>
      <c r="V44" s="142">
        <v>42</v>
      </c>
      <c r="W44" s="139">
        <f>IF('kustannus-hyötyarviot'!$D$30-'kustannus-hyötyarviot'!$H$14&lt;0,1,'kustannus-hyötyarviot'!$D$30-'kustannus-hyötyarviot'!$H$14)</f>
        <v>0</v>
      </c>
      <c r="X44" s="141" t="e">
        <f>IF(W44=1,-1,IRR($W$2:W44))</f>
        <v>#NUM!</v>
      </c>
    </row>
    <row r="45" spans="16:24" x14ac:dyDescent="0.25">
      <c r="P45" s="142">
        <v>43</v>
      </c>
      <c r="Q45" s="139">
        <f>IF('kustannus-hyötyarviot'!$D$26-'kustannus-hyötyarviot'!$H$14&lt;0,1,'kustannus-hyötyarviot'!$D$26-'kustannus-hyötyarviot'!$H$14)</f>
        <v>0</v>
      </c>
      <c r="R45" s="141" t="e">
        <f>IF(Q45=1,-1,IRR(Q$2:$Q45))</f>
        <v>#NUM!</v>
      </c>
      <c r="S45" s="142">
        <v>43</v>
      </c>
      <c r="T45" s="139">
        <f>IF('kustannus-hyötyarviot'!$H$28-'kustannus-hyötyarviot'!$H$14&lt;0,1,'kustannus-hyötyarviot'!$H$28-'kustannus-hyötyarviot'!$H$14)</f>
        <v>210000</v>
      </c>
      <c r="U45" s="141">
        <f>IF(T45=1,-1,IRR($T$2:T45))</f>
        <v>209999.99999837292</v>
      </c>
      <c r="V45" s="142">
        <v>43</v>
      </c>
      <c r="W45" s="139">
        <f>IF('kustannus-hyötyarviot'!$D$30-'kustannus-hyötyarviot'!$H$14&lt;0,1,'kustannus-hyötyarviot'!$D$30-'kustannus-hyötyarviot'!$H$14)</f>
        <v>0</v>
      </c>
      <c r="X45" s="141" t="e">
        <f>IF(W45=1,-1,IRR($W$2:W45))</f>
        <v>#NUM!</v>
      </c>
    </row>
    <row r="46" spans="16:24" x14ac:dyDescent="0.25">
      <c r="P46" s="142">
        <v>44</v>
      </c>
      <c r="Q46" s="139">
        <f>IF('kustannus-hyötyarviot'!$D$26-'kustannus-hyötyarviot'!$H$14&lt;0,1,'kustannus-hyötyarviot'!$D$26-'kustannus-hyötyarviot'!$H$14)</f>
        <v>0</v>
      </c>
      <c r="R46" s="141" t="e">
        <f>IF(Q46=1,-1,IRR(Q$2:$Q46))</f>
        <v>#NUM!</v>
      </c>
      <c r="S46" s="142">
        <v>44</v>
      </c>
      <c r="T46" s="139">
        <f>IF('kustannus-hyötyarviot'!$H$28-'kustannus-hyötyarviot'!$H$14&lt;0,1,'kustannus-hyötyarviot'!$H$28-'kustannus-hyötyarviot'!$H$14)</f>
        <v>210000</v>
      </c>
      <c r="U46" s="141">
        <f>IF(T46=1,-1,IRR($T$2:T46))</f>
        <v>209999.99999347681</v>
      </c>
      <c r="V46" s="142">
        <v>44</v>
      </c>
      <c r="W46" s="139">
        <f>IF('kustannus-hyötyarviot'!$D$30-'kustannus-hyötyarviot'!$H$14&lt;0,1,'kustannus-hyötyarviot'!$D$30-'kustannus-hyötyarviot'!$H$14)</f>
        <v>0</v>
      </c>
      <c r="X46" s="141" t="e">
        <f>IF(W46=1,-1,IRR($W$2:W46))</f>
        <v>#NUM!</v>
      </c>
    </row>
    <row r="47" spans="16:24" x14ac:dyDescent="0.25">
      <c r="P47" s="142">
        <v>45</v>
      </c>
      <c r="Q47" s="139">
        <f>IF('kustannus-hyötyarviot'!$D$26-'kustannus-hyötyarviot'!$H$14&lt;0,1,'kustannus-hyötyarviot'!$D$26-'kustannus-hyötyarviot'!$H$14)</f>
        <v>0</v>
      </c>
      <c r="R47" s="141" t="e">
        <f>IF(Q47=1,-1,IRR(Q$2:$Q47))</f>
        <v>#NUM!</v>
      </c>
      <c r="S47" s="142">
        <v>45</v>
      </c>
      <c r="T47" s="139">
        <f>IF('kustannus-hyötyarviot'!$H$28-'kustannus-hyötyarviot'!$H$14&lt;0,1,'kustannus-hyötyarviot'!$H$28-'kustannus-hyötyarviot'!$H$14)</f>
        <v>210000</v>
      </c>
      <c r="U47" s="141">
        <f>IF(T47=1,-1,IRR($T$2:T47))</f>
        <v>209999.99999347681</v>
      </c>
      <c r="V47" s="142">
        <v>45</v>
      </c>
      <c r="W47" s="139">
        <f>IF('kustannus-hyötyarviot'!$D$30-'kustannus-hyötyarviot'!$H$14&lt;0,1,'kustannus-hyötyarviot'!$D$30-'kustannus-hyötyarviot'!$H$14)</f>
        <v>0</v>
      </c>
      <c r="X47" s="141" t="e">
        <f>IF(W47=1,-1,IRR($W$2:W47))</f>
        <v>#NUM!</v>
      </c>
    </row>
    <row r="48" spans="16:24" x14ac:dyDescent="0.25">
      <c r="P48" s="142">
        <v>46</v>
      </c>
      <c r="Q48" s="139">
        <f>IF('kustannus-hyötyarviot'!$D$26-'kustannus-hyötyarviot'!$H$14&lt;0,1,'kustannus-hyötyarviot'!$D$26-'kustannus-hyötyarviot'!$H$14)</f>
        <v>0</v>
      </c>
      <c r="R48" s="141" t="e">
        <f>IF(Q48=1,-1,IRR(Q$2:$Q48))</f>
        <v>#NUM!</v>
      </c>
      <c r="S48" s="142">
        <v>46</v>
      </c>
      <c r="T48" s="139">
        <f>IF('kustannus-hyötyarviot'!$H$28-'kustannus-hyötyarviot'!$H$14&lt;0,1,'kustannus-hyötyarviot'!$H$28-'kustannus-hyötyarviot'!$H$14)</f>
        <v>210000</v>
      </c>
      <c r="U48" s="141">
        <f>IF(T48=1,-1,IRR($T$2:T48))</f>
        <v>209999.99999347681</v>
      </c>
      <c r="V48" s="142">
        <v>46</v>
      </c>
      <c r="W48" s="139">
        <f>IF('kustannus-hyötyarviot'!$D$30-'kustannus-hyötyarviot'!$H$14&lt;0,1,'kustannus-hyötyarviot'!$D$30-'kustannus-hyötyarviot'!$H$14)</f>
        <v>0</v>
      </c>
      <c r="X48" s="141" t="e">
        <f>IF(W48=1,-1,IRR($W$2:W48))</f>
        <v>#NUM!</v>
      </c>
    </row>
    <row r="49" spans="16:24" x14ac:dyDescent="0.25">
      <c r="P49" s="142">
        <v>47</v>
      </c>
      <c r="Q49" s="139">
        <f>IF('kustannus-hyötyarviot'!$D$26-'kustannus-hyötyarviot'!$H$14&lt;0,1,'kustannus-hyötyarviot'!$D$26-'kustannus-hyötyarviot'!$H$14)</f>
        <v>0</v>
      </c>
      <c r="R49" s="141" t="e">
        <f>IF(Q49=1,-1,IRR(Q$2:$Q49))</f>
        <v>#NUM!</v>
      </c>
      <c r="S49" s="142">
        <v>47</v>
      </c>
      <c r="T49" s="139">
        <f>IF('kustannus-hyötyarviot'!$H$28-'kustannus-hyötyarviot'!$H$14&lt;0,1,'kustannus-hyötyarviot'!$H$28-'kustannus-hyötyarviot'!$H$14)</f>
        <v>210000</v>
      </c>
      <c r="U49" s="141">
        <f>IF(T49=1,-1,IRR($T$2:T49))</f>
        <v>209999.99999347681</v>
      </c>
      <c r="V49" s="142">
        <v>47</v>
      </c>
      <c r="W49" s="139">
        <f>IF('kustannus-hyötyarviot'!$D$30-'kustannus-hyötyarviot'!$H$14&lt;0,1,'kustannus-hyötyarviot'!$D$30-'kustannus-hyötyarviot'!$H$14)</f>
        <v>0</v>
      </c>
      <c r="X49" s="141" t="e">
        <f>IF(W49=1,-1,IRR($W$2:W49))</f>
        <v>#NUM!</v>
      </c>
    </row>
    <row r="50" spans="16:24" x14ac:dyDescent="0.25">
      <c r="P50" s="142">
        <v>48</v>
      </c>
      <c r="Q50" s="139">
        <f>IF('kustannus-hyötyarviot'!$D$26-'kustannus-hyötyarviot'!$H$14&lt;0,1,'kustannus-hyötyarviot'!$D$26-'kustannus-hyötyarviot'!$H$14)</f>
        <v>0</v>
      </c>
      <c r="R50" s="141" t="e">
        <f>IF(Q50=1,-1,IRR(Q$2:$Q50))</f>
        <v>#NUM!</v>
      </c>
      <c r="S50" s="142">
        <v>48</v>
      </c>
      <c r="T50" s="139">
        <f>IF('kustannus-hyötyarviot'!$H$28-'kustannus-hyötyarviot'!$H$14&lt;0,1,'kustannus-hyötyarviot'!$H$28-'kustannus-hyötyarviot'!$H$14)</f>
        <v>210000</v>
      </c>
      <c r="U50" s="141">
        <f>IF(T50=1,-1,IRR($T$2:T50))</f>
        <v>209999.99999347681</v>
      </c>
      <c r="V50" s="142">
        <v>48</v>
      </c>
      <c r="W50" s="139">
        <f>IF('kustannus-hyötyarviot'!$D$30-'kustannus-hyötyarviot'!$H$14&lt;0,1,'kustannus-hyötyarviot'!$D$30-'kustannus-hyötyarviot'!$H$14)</f>
        <v>0</v>
      </c>
      <c r="X50" s="141" t="e">
        <f>IF(W50=1,-1,IRR($W$2:W50))</f>
        <v>#NUM!</v>
      </c>
    </row>
    <row r="51" spans="16:24" x14ac:dyDescent="0.25">
      <c r="P51" s="142">
        <v>49</v>
      </c>
      <c r="Q51" s="139">
        <f>IF('kustannus-hyötyarviot'!$D$26-'kustannus-hyötyarviot'!$H$14&lt;0,1,'kustannus-hyötyarviot'!$D$26-'kustannus-hyötyarviot'!$H$14)</f>
        <v>0</v>
      </c>
      <c r="R51" s="141" t="e">
        <f>IF(Q51=1,-1,IRR(Q$2:$Q51))</f>
        <v>#NUM!</v>
      </c>
      <c r="S51" s="142">
        <v>49</v>
      </c>
      <c r="T51" s="139">
        <f>IF('kustannus-hyötyarviot'!$H$28-'kustannus-hyötyarviot'!$H$14&lt;0,1,'kustannus-hyötyarviot'!$H$28-'kustannus-hyötyarviot'!$H$14)</f>
        <v>210000</v>
      </c>
      <c r="U51" s="141">
        <f>IF(T51=1,-1,IRR($T$2:T51))</f>
        <v>209999.99999347681</v>
      </c>
      <c r="V51" s="142">
        <v>49</v>
      </c>
      <c r="W51" s="139">
        <f>IF('kustannus-hyötyarviot'!$D$30-'kustannus-hyötyarviot'!$H$14&lt;0,1,'kustannus-hyötyarviot'!$D$30-'kustannus-hyötyarviot'!$H$14)</f>
        <v>0</v>
      </c>
      <c r="X51" s="141" t="e">
        <f>IF(W51=1,-1,IRR($W$2:W51))</f>
        <v>#NUM!</v>
      </c>
    </row>
    <row r="52" spans="16:24" x14ac:dyDescent="0.25">
      <c r="P52" s="142">
        <v>50</v>
      </c>
      <c r="Q52" s="139">
        <f>IF('kustannus-hyötyarviot'!$D$26-'kustannus-hyötyarviot'!$H$14&lt;0,1,'kustannus-hyötyarviot'!$D$26-'kustannus-hyötyarviot'!$H$14)</f>
        <v>0</v>
      </c>
      <c r="R52" s="141" t="e">
        <f>IF(Q52=1,-1,IRR(Q$2:$Q52))</f>
        <v>#NUM!</v>
      </c>
      <c r="S52" s="142">
        <v>50</v>
      </c>
      <c r="T52" s="139">
        <f>IF('kustannus-hyötyarviot'!$H$28-'kustannus-hyötyarviot'!$H$14&lt;0,1,'kustannus-hyötyarviot'!$H$28-'kustannus-hyötyarviot'!$H$14)</f>
        <v>210000</v>
      </c>
      <c r="U52" s="141">
        <f>IF(T52=1,-1,IRR($T$2:T52))</f>
        <v>209999.99999347681</v>
      </c>
      <c r="V52" s="142">
        <v>50</v>
      </c>
      <c r="W52" s="139">
        <f>IF('kustannus-hyötyarviot'!$D$30-'kustannus-hyötyarviot'!$H$14&lt;0,1,'kustannus-hyötyarviot'!$D$30-'kustannus-hyötyarviot'!$H$14)</f>
        <v>0</v>
      </c>
      <c r="X52" s="141" t="e">
        <f>IF(W52=1,-1,IRR($W$2:W52))</f>
        <v>#NUM!</v>
      </c>
    </row>
    <row r="53" spans="16:24" x14ac:dyDescent="0.25">
      <c r="P53" s="142">
        <v>51</v>
      </c>
      <c r="Q53" s="139">
        <f>IF('kustannus-hyötyarviot'!$D$26-'kustannus-hyötyarviot'!$H$14&lt;0,1,'kustannus-hyötyarviot'!$D$26-'kustannus-hyötyarviot'!$H$14)</f>
        <v>0</v>
      </c>
      <c r="R53" s="141" t="e">
        <f>IF(Q53=1,-1,IRR(Q$2:$Q53))</f>
        <v>#NUM!</v>
      </c>
      <c r="S53" s="142">
        <v>51</v>
      </c>
      <c r="T53" s="139">
        <f>IF('kustannus-hyötyarviot'!$H$28-'kustannus-hyötyarviot'!$H$14&lt;0,1,'kustannus-hyötyarviot'!$H$28-'kustannus-hyötyarviot'!$H$14)</f>
        <v>210000</v>
      </c>
      <c r="U53" s="141">
        <f>IF(T53=1,-1,IRR($T$2:T53))</f>
        <v>209999.99999347681</v>
      </c>
      <c r="V53" s="142">
        <v>51</v>
      </c>
      <c r="W53" s="139">
        <f>IF('kustannus-hyötyarviot'!$D$30-'kustannus-hyötyarviot'!$H$14&lt;0,1,'kustannus-hyötyarviot'!$D$30-'kustannus-hyötyarviot'!$H$14)</f>
        <v>0</v>
      </c>
      <c r="X53" s="141" t="e">
        <f>IF(W53=1,-1,IRR($W$2:W53))</f>
        <v>#NUM!</v>
      </c>
    </row>
    <row r="54" spans="16:24" x14ac:dyDescent="0.25">
      <c r="P54" s="142">
        <v>52</v>
      </c>
      <c r="Q54" s="139">
        <f>IF('kustannus-hyötyarviot'!$D$26-'kustannus-hyötyarviot'!$H$14&lt;0,1,'kustannus-hyötyarviot'!$D$26-'kustannus-hyötyarviot'!$H$14)</f>
        <v>0</v>
      </c>
      <c r="R54" s="141" t="e">
        <f>IF(Q54=1,-1,IRR(Q$2:$Q54))</f>
        <v>#NUM!</v>
      </c>
      <c r="S54" s="142">
        <v>52</v>
      </c>
      <c r="T54" s="139">
        <f>IF('kustannus-hyötyarviot'!$H$28-'kustannus-hyötyarviot'!$H$14&lt;0,1,'kustannus-hyötyarviot'!$H$28-'kustannus-hyötyarviot'!$H$14)</f>
        <v>210000</v>
      </c>
      <c r="U54" s="141">
        <f>IF(T54=1,-1,IRR($T$2:T54))</f>
        <v>209999.99999347681</v>
      </c>
      <c r="V54" s="142">
        <v>52</v>
      </c>
      <c r="W54" s="139">
        <f>IF('kustannus-hyötyarviot'!$D$30-'kustannus-hyötyarviot'!$H$14&lt;0,1,'kustannus-hyötyarviot'!$D$30-'kustannus-hyötyarviot'!$H$14)</f>
        <v>0</v>
      </c>
      <c r="X54" s="141" t="e">
        <f>IF(W54=1,-1,IRR($W$2:W54))</f>
        <v>#NUM!</v>
      </c>
    </row>
    <row r="55" spans="16:24" x14ac:dyDescent="0.25">
      <c r="P55" s="142">
        <v>53</v>
      </c>
      <c r="Q55" s="139">
        <f>IF('kustannus-hyötyarviot'!$D$26-'kustannus-hyötyarviot'!$H$14&lt;0,1,'kustannus-hyötyarviot'!$D$26-'kustannus-hyötyarviot'!$H$14)</f>
        <v>0</v>
      </c>
      <c r="R55" s="141" t="e">
        <f>IF(Q55=1,-1,IRR(Q$2:$Q55))</f>
        <v>#NUM!</v>
      </c>
      <c r="S55" s="142">
        <v>53</v>
      </c>
      <c r="T55" s="139">
        <f>IF('kustannus-hyötyarviot'!$H$28-'kustannus-hyötyarviot'!$H$14&lt;0,1,'kustannus-hyötyarviot'!$H$28-'kustannus-hyötyarviot'!$H$14)</f>
        <v>210000</v>
      </c>
      <c r="U55" s="141">
        <f>IF(T55=1,-1,IRR($T$2:T55))</f>
        <v>209999.99999347681</v>
      </c>
      <c r="V55" s="142">
        <v>53</v>
      </c>
      <c r="W55" s="139">
        <f>IF('kustannus-hyötyarviot'!$D$30-'kustannus-hyötyarviot'!$H$14&lt;0,1,'kustannus-hyötyarviot'!$D$30-'kustannus-hyötyarviot'!$H$14)</f>
        <v>0</v>
      </c>
      <c r="X55" s="141" t="e">
        <f>IF(W55=1,-1,IRR($W$2:W55))</f>
        <v>#NUM!</v>
      </c>
    </row>
    <row r="56" spans="16:24" x14ac:dyDescent="0.25">
      <c r="P56" s="142">
        <v>54</v>
      </c>
      <c r="Q56" s="139">
        <f>IF('kustannus-hyötyarviot'!$D$26-'kustannus-hyötyarviot'!$H$14&lt;0,1,'kustannus-hyötyarviot'!$D$26-'kustannus-hyötyarviot'!$H$14)</f>
        <v>0</v>
      </c>
      <c r="R56" s="141" t="e">
        <f>IF(Q56=1,-1,IRR(Q$2:$Q56))</f>
        <v>#NUM!</v>
      </c>
      <c r="S56" s="142">
        <v>54</v>
      </c>
      <c r="T56" s="139">
        <f>IF('kustannus-hyötyarviot'!$H$28-'kustannus-hyötyarviot'!$H$14&lt;0,1,'kustannus-hyötyarviot'!$H$28-'kustannus-hyötyarviot'!$H$14)</f>
        <v>210000</v>
      </c>
      <c r="U56" s="141">
        <f>IF(T56=1,-1,IRR($T$2:T56))</f>
        <v>209999.99999347681</v>
      </c>
      <c r="V56" s="142">
        <v>54</v>
      </c>
      <c r="W56" s="139">
        <f>IF('kustannus-hyötyarviot'!$D$30-'kustannus-hyötyarviot'!$H$14&lt;0,1,'kustannus-hyötyarviot'!$D$30-'kustannus-hyötyarviot'!$H$14)</f>
        <v>0</v>
      </c>
      <c r="X56" s="141" t="e">
        <f>IF(W56=1,-1,IRR($W$2:W56))</f>
        <v>#NUM!</v>
      </c>
    </row>
    <row r="57" spans="16:24" x14ac:dyDescent="0.25">
      <c r="P57" s="142">
        <v>55</v>
      </c>
      <c r="Q57" s="139">
        <f>IF('kustannus-hyötyarviot'!$D$26-'kustannus-hyötyarviot'!$H$14&lt;0,1,'kustannus-hyötyarviot'!$D$26-'kustannus-hyötyarviot'!$H$14)</f>
        <v>0</v>
      </c>
      <c r="R57" s="141" t="e">
        <f>IF(Q57=1,-1,IRR(Q$2:$Q57))</f>
        <v>#NUM!</v>
      </c>
      <c r="S57" s="142">
        <v>55</v>
      </c>
      <c r="T57" s="139">
        <f>IF('kustannus-hyötyarviot'!$H$28-'kustannus-hyötyarviot'!$H$14&lt;0,1,'kustannus-hyötyarviot'!$H$28-'kustannus-hyötyarviot'!$H$14)</f>
        <v>210000</v>
      </c>
      <c r="U57" s="141">
        <f>IF(T57=1,-1,IRR($T$2:T57))</f>
        <v>209999.99999347681</v>
      </c>
      <c r="V57" s="142">
        <v>55</v>
      </c>
      <c r="W57" s="139">
        <f>IF('kustannus-hyötyarviot'!$D$30-'kustannus-hyötyarviot'!$H$14&lt;0,1,'kustannus-hyötyarviot'!$D$30-'kustannus-hyötyarviot'!$H$14)</f>
        <v>0</v>
      </c>
      <c r="X57" s="141" t="e">
        <f>IF(W57=1,-1,IRR($W$2:W57))</f>
        <v>#NUM!</v>
      </c>
    </row>
    <row r="58" spans="16:24" x14ac:dyDescent="0.25">
      <c r="P58" s="142">
        <v>56</v>
      </c>
      <c r="Q58" s="139">
        <f>IF('kustannus-hyötyarviot'!$D$26-'kustannus-hyötyarviot'!$H$14&lt;0,1,'kustannus-hyötyarviot'!$D$26-'kustannus-hyötyarviot'!$H$14)</f>
        <v>0</v>
      </c>
      <c r="R58" s="141" t="e">
        <f>IF(Q58=1,-1,IRR(Q$2:$Q58))</f>
        <v>#NUM!</v>
      </c>
      <c r="S58" s="142">
        <v>56</v>
      </c>
      <c r="T58" s="139">
        <f>IF('kustannus-hyötyarviot'!$H$28-'kustannus-hyötyarviot'!$H$14&lt;0,1,'kustannus-hyötyarviot'!$H$28-'kustannus-hyötyarviot'!$H$14)</f>
        <v>210000</v>
      </c>
      <c r="U58" s="141">
        <f>IF(T58=1,-1,IRR($T$2:T58))</f>
        <v>209999.99999347681</v>
      </c>
      <c r="V58" s="142">
        <v>56</v>
      </c>
      <c r="W58" s="139">
        <f>IF('kustannus-hyötyarviot'!$D$30-'kustannus-hyötyarviot'!$H$14&lt;0,1,'kustannus-hyötyarviot'!$D$30-'kustannus-hyötyarviot'!$H$14)</f>
        <v>0</v>
      </c>
      <c r="X58" s="141" t="e">
        <f>IF(W58=1,-1,IRR($W$2:W58))</f>
        <v>#NUM!</v>
      </c>
    </row>
    <row r="59" spans="16:24" x14ac:dyDescent="0.25">
      <c r="P59" s="142">
        <v>57</v>
      </c>
      <c r="Q59" s="139">
        <f>IF('kustannus-hyötyarviot'!$D$26-'kustannus-hyötyarviot'!$H$14&lt;0,1,'kustannus-hyötyarviot'!$D$26-'kustannus-hyötyarviot'!$H$14)</f>
        <v>0</v>
      </c>
      <c r="R59" s="141" t="e">
        <f>IF(Q59=1,-1,IRR(Q$2:$Q59))</f>
        <v>#NUM!</v>
      </c>
      <c r="S59" s="142">
        <v>57</v>
      </c>
      <c r="T59" s="139">
        <f>IF('kustannus-hyötyarviot'!$H$28-'kustannus-hyötyarviot'!$H$14&lt;0,1,'kustannus-hyötyarviot'!$H$28-'kustannus-hyötyarviot'!$H$14)</f>
        <v>210000</v>
      </c>
      <c r="U59" s="141">
        <f>IF(T59=1,-1,IRR($T$2:T59))</f>
        <v>209999.99998858068</v>
      </c>
      <c r="V59" s="142">
        <v>57</v>
      </c>
      <c r="W59" s="139">
        <f>IF('kustannus-hyötyarviot'!$D$30-'kustannus-hyötyarviot'!$H$14&lt;0,1,'kustannus-hyötyarviot'!$D$30-'kustannus-hyötyarviot'!$H$14)</f>
        <v>0</v>
      </c>
      <c r="X59" s="141" t="e">
        <f>IF(W59=1,-1,IRR($W$2:W59))</f>
        <v>#NUM!</v>
      </c>
    </row>
    <row r="60" spans="16:24" x14ac:dyDescent="0.25">
      <c r="P60" s="142">
        <v>58</v>
      </c>
      <c r="Q60" s="139">
        <f>IF('kustannus-hyötyarviot'!$D$26-'kustannus-hyötyarviot'!$H$14&lt;0,1,'kustannus-hyötyarviot'!$D$26-'kustannus-hyötyarviot'!$H$14)</f>
        <v>0</v>
      </c>
      <c r="R60" s="141" t="e">
        <f>IF(Q60=1,-1,IRR(Q$2:$Q60))</f>
        <v>#NUM!</v>
      </c>
      <c r="S60" s="142">
        <v>58</v>
      </c>
      <c r="T60" s="139">
        <f>IF('kustannus-hyötyarviot'!$H$28-'kustannus-hyötyarviot'!$H$14&lt;0,1,'kustannus-hyötyarviot'!$H$28-'kustannus-hyötyarviot'!$H$14)</f>
        <v>210000</v>
      </c>
      <c r="U60" s="141" t="e">
        <f>IF(T60=1,-1,IRR($T$2:T60))</f>
        <v>#DIV/0!</v>
      </c>
      <c r="V60" s="142">
        <v>58</v>
      </c>
      <c r="W60" s="139">
        <f>IF('kustannus-hyötyarviot'!$D$30-'kustannus-hyötyarviot'!$H$14&lt;0,1,'kustannus-hyötyarviot'!$D$30-'kustannus-hyötyarviot'!$H$14)</f>
        <v>0</v>
      </c>
      <c r="X60" s="141" t="e">
        <f>IF(W60=1,-1,IRR($W$2:W60))</f>
        <v>#NUM!</v>
      </c>
    </row>
    <row r="61" spans="16:24" x14ac:dyDescent="0.25">
      <c r="P61" s="142">
        <v>59</v>
      </c>
      <c r="Q61" s="139">
        <f>IF('kustannus-hyötyarviot'!$D$26-'kustannus-hyötyarviot'!$H$14&lt;0,1,'kustannus-hyötyarviot'!$D$26-'kustannus-hyötyarviot'!$H$14)</f>
        <v>0</v>
      </c>
      <c r="R61" s="141" t="e">
        <f>IF(Q61=1,-1,IRR(Q$2:$Q61))</f>
        <v>#NUM!</v>
      </c>
      <c r="S61" s="142">
        <v>59</v>
      </c>
      <c r="T61" s="139">
        <f>IF('kustannus-hyötyarviot'!$H$28-'kustannus-hyötyarviot'!$H$14&lt;0,1,'kustannus-hyötyarviot'!$H$28-'kustannus-hyötyarviot'!$H$14)</f>
        <v>210000</v>
      </c>
      <c r="U61" s="141" t="e">
        <f>IF(T61=1,-1,IRR($T$2:T61))</f>
        <v>#DIV/0!</v>
      </c>
      <c r="V61" s="142">
        <v>59</v>
      </c>
      <c r="W61" s="139">
        <f>IF('kustannus-hyötyarviot'!$D$30-'kustannus-hyötyarviot'!$H$14&lt;0,1,'kustannus-hyötyarviot'!$D$30-'kustannus-hyötyarviot'!$H$14)</f>
        <v>0</v>
      </c>
      <c r="X61" s="141" t="e">
        <f>IF(W61=1,-1,IRR($W$2:W61))</f>
        <v>#NUM!</v>
      </c>
    </row>
    <row r="62" spans="16:24" x14ac:dyDescent="0.25">
      <c r="P62" s="142">
        <v>60</v>
      </c>
      <c r="Q62" s="139">
        <f>IF('kustannus-hyötyarviot'!$D$26-'kustannus-hyötyarviot'!$H$14&lt;0,1,'kustannus-hyötyarviot'!$D$26-'kustannus-hyötyarviot'!$H$14)</f>
        <v>0</v>
      </c>
      <c r="R62" s="141" t="e">
        <f>IF(Q62=1,-1,IRR(Q$2:$Q62))</f>
        <v>#NUM!</v>
      </c>
      <c r="S62" s="142">
        <v>60</v>
      </c>
      <c r="T62" s="139">
        <f>IF('kustannus-hyötyarviot'!$H$28-'kustannus-hyötyarviot'!$H$14&lt;0,1,'kustannus-hyötyarviot'!$H$28-'kustannus-hyötyarviot'!$H$14)</f>
        <v>210000</v>
      </c>
      <c r="U62" s="141" t="e">
        <f>IF(T62=1,-1,IRR($T$2:T62))</f>
        <v>#DIV/0!</v>
      </c>
      <c r="V62" s="142">
        <v>60</v>
      </c>
      <c r="W62" s="139">
        <f>IF('kustannus-hyötyarviot'!$D$30-'kustannus-hyötyarviot'!$H$14&lt;0,1,'kustannus-hyötyarviot'!$D$30-'kustannus-hyötyarviot'!$H$14)</f>
        <v>0</v>
      </c>
      <c r="X62" s="141" t="e">
        <f>IF(W62=1,-1,IRR($W$2:W62))</f>
        <v>#NUM!</v>
      </c>
    </row>
    <row r="63" spans="16:24" x14ac:dyDescent="0.25">
      <c r="P63" s="142">
        <v>61</v>
      </c>
      <c r="Q63" s="139">
        <f>IF('kustannus-hyötyarviot'!$D$26-'kustannus-hyötyarviot'!$H$14&lt;0,1,'kustannus-hyötyarviot'!$D$26-'kustannus-hyötyarviot'!$H$14)</f>
        <v>0</v>
      </c>
      <c r="R63" s="141" t="e">
        <f>IF(Q63=1,-1,IRR(Q$2:$Q63))</f>
        <v>#NUM!</v>
      </c>
      <c r="S63" s="142">
        <v>61</v>
      </c>
      <c r="T63" s="139">
        <f>IF('kustannus-hyötyarviot'!$H$28-'kustannus-hyötyarviot'!$H$14&lt;0,1,'kustannus-hyötyarviot'!$H$28-'kustannus-hyötyarviot'!$H$14)</f>
        <v>210000</v>
      </c>
      <c r="U63" s="141" t="e">
        <f>IF(T63=1,-1,IRR($T$2:T63))</f>
        <v>#DIV/0!</v>
      </c>
      <c r="V63" s="142">
        <v>61</v>
      </c>
      <c r="W63" s="139">
        <f>IF('kustannus-hyötyarviot'!$D$30-'kustannus-hyötyarviot'!$H$14&lt;0,1,'kustannus-hyötyarviot'!$D$30-'kustannus-hyötyarviot'!$H$14)</f>
        <v>0</v>
      </c>
      <c r="X63" s="141" t="e">
        <f>IF(W63=1,-1,IRR($W$2:W63))</f>
        <v>#NUM!</v>
      </c>
    </row>
    <row r="64" spans="16:24" x14ac:dyDescent="0.25">
      <c r="P64" s="142">
        <v>62</v>
      </c>
      <c r="Q64" s="139">
        <f>IF('kustannus-hyötyarviot'!$D$26-'kustannus-hyötyarviot'!$H$14&lt;0,1,'kustannus-hyötyarviot'!$D$26-'kustannus-hyötyarviot'!$H$14)</f>
        <v>0</v>
      </c>
      <c r="R64" s="141" t="e">
        <f>IF(Q64=1,-1,IRR(Q$2:$Q64))</f>
        <v>#NUM!</v>
      </c>
      <c r="S64" s="142">
        <v>62</v>
      </c>
      <c r="T64" s="139">
        <f>IF('kustannus-hyötyarviot'!$H$28-'kustannus-hyötyarviot'!$H$14&lt;0,1,'kustannus-hyötyarviot'!$H$28-'kustannus-hyötyarviot'!$H$14)</f>
        <v>210000</v>
      </c>
      <c r="U64" s="141" t="e">
        <f>IF(T64=1,-1,IRR($T$2:T64))</f>
        <v>#DIV/0!</v>
      </c>
      <c r="V64" s="142">
        <v>62</v>
      </c>
      <c r="W64" s="139">
        <f>IF('kustannus-hyötyarviot'!$D$30-'kustannus-hyötyarviot'!$H$14&lt;0,1,'kustannus-hyötyarviot'!$D$30-'kustannus-hyötyarviot'!$H$14)</f>
        <v>0</v>
      </c>
      <c r="X64" s="141" t="e">
        <f>IF(W64=1,-1,IRR($W$2:W64))</f>
        <v>#NUM!</v>
      </c>
    </row>
    <row r="65" spans="16:24" x14ac:dyDescent="0.25">
      <c r="P65" s="142">
        <v>63</v>
      </c>
      <c r="Q65" s="139">
        <f>IF('kustannus-hyötyarviot'!$D$26-'kustannus-hyötyarviot'!$H$14&lt;0,1,'kustannus-hyötyarviot'!$D$26-'kustannus-hyötyarviot'!$H$14)</f>
        <v>0</v>
      </c>
      <c r="R65" s="141" t="e">
        <f>IF(Q65=1,-1,IRR(Q$2:$Q65))</f>
        <v>#NUM!</v>
      </c>
      <c r="S65" s="142">
        <v>63</v>
      </c>
      <c r="T65" s="139">
        <f>IF('kustannus-hyötyarviot'!$H$28-'kustannus-hyötyarviot'!$H$14&lt;0,1,'kustannus-hyötyarviot'!$H$28-'kustannus-hyötyarviot'!$H$14)</f>
        <v>210000</v>
      </c>
      <c r="U65" s="141" t="e">
        <f>IF(T65=1,-1,IRR($T$2:T65))</f>
        <v>#DIV/0!</v>
      </c>
      <c r="V65" s="142">
        <v>63</v>
      </c>
      <c r="W65" s="139">
        <f>IF('kustannus-hyötyarviot'!$D$30-'kustannus-hyötyarviot'!$H$14&lt;0,1,'kustannus-hyötyarviot'!$D$30-'kustannus-hyötyarviot'!$H$14)</f>
        <v>0</v>
      </c>
      <c r="X65" s="141" t="e">
        <f>IF(W65=1,-1,IRR($W$2:W65))</f>
        <v>#NUM!</v>
      </c>
    </row>
    <row r="66" spans="16:24" x14ac:dyDescent="0.25">
      <c r="P66" s="142">
        <v>64</v>
      </c>
      <c r="Q66" s="139">
        <f>IF('kustannus-hyötyarviot'!$D$26-'kustannus-hyötyarviot'!$H$14&lt;0,1,'kustannus-hyötyarviot'!$D$26-'kustannus-hyötyarviot'!$H$14)</f>
        <v>0</v>
      </c>
      <c r="R66" s="141" t="e">
        <f>IF(Q66=1,-1,IRR(Q$2:$Q66))</f>
        <v>#NUM!</v>
      </c>
      <c r="S66" s="142">
        <v>64</v>
      </c>
      <c r="T66" s="139">
        <f>IF('kustannus-hyötyarviot'!$H$28-'kustannus-hyötyarviot'!$H$14&lt;0,1,'kustannus-hyötyarviot'!$H$28-'kustannus-hyötyarviot'!$H$14)</f>
        <v>210000</v>
      </c>
      <c r="U66" s="141" t="e">
        <f>IF(T66=1,-1,IRR($T$2:T66))</f>
        <v>#DIV/0!</v>
      </c>
      <c r="V66" s="142">
        <v>64</v>
      </c>
      <c r="W66" s="139">
        <f>IF('kustannus-hyötyarviot'!$D$30-'kustannus-hyötyarviot'!$H$14&lt;0,1,'kustannus-hyötyarviot'!$D$30-'kustannus-hyötyarviot'!$H$14)</f>
        <v>0</v>
      </c>
      <c r="X66" s="141" t="e">
        <f>IF(W66=1,-1,IRR($W$2:W66))</f>
        <v>#NUM!</v>
      </c>
    </row>
    <row r="67" spans="16:24" x14ac:dyDescent="0.25">
      <c r="P67" s="142">
        <v>65</v>
      </c>
      <c r="Q67" s="139">
        <f>IF('kustannus-hyötyarviot'!$D$26-'kustannus-hyötyarviot'!$H$14&lt;0,1,'kustannus-hyötyarviot'!$D$26-'kustannus-hyötyarviot'!$H$14)</f>
        <v>0</v>
      </c>
      <c r="R67" s="141" t="e">
        <f>IF(Q67=1,-1,IRR(Q$2:$Q67))</f>
        <v>#NUM!</v>
      </c>
      <c r="S67" s="142">
        <v>65</v>
      </c>
      <c r="T67" s="139">
        <f>IF('kustannus-hyötyarviot'!$H$28-'kustannus-hyötyarviot'!$H$14&lt;0,1,'kustannus-hyötyarviot'!$H$28-'kustannus-hyötyarviot'!$H$14)</f>
        <v>210000</v>
      </c>
      <c r="U67" s="141" t="e">
        <f>IF(T67=1,-1,IRR($T$2:T67))</f>
        <v>#DIV/0!</v>
      </c>
      <c r="V67" s="142">
        <v>65</v>
      </c>
      <c r="W67" s="139">
        <f>IF('kustannus-hyötyarviot'!$D$30-'kustannus-hyötyarviot'!$H$14&lt;0,1,'kustannus-hyötyarviot'!$D$30-'kustannus-hyötyarviot'!$H$14)</f>
        <v>0</v>
      </c>
      <c r="X67" s="141" t="e">
        <f>IF(W67=1,-1,IRR($W$2:W67))</f>
        <v>#NUM!</v>
      </c>
    </row>
    <row r="68" spans="16:24" x14ac:dyDescent="0.25">
      <c r="P68" s="142">
        <v>66</v>
      </c>
      <c r="Q68" s="139">
        <f>IF('kustannus-hyötyarviot'!$D$26-'kustannus-hyötyarviot'!$H$14&lt;0,1,'kustannus-hyötyarviot'!$D$26-'kustannus-hyötyarviot'!$H$14)</f>
        <v>0</v>
      </c>
      <c r="R68" s="141" t="e">
        <f>IF(Q68=1,-1,IRR(Q$2:$Q68))</f>
        <v>#NUM!</v>
      </c>
      <c r="S68" s="142">
        <v>66</v>
      </c>
      <c r="T68" s="139">
        <f>IF('kustannus-hyötyarviot'!$H$28-'kustannus-hyötyarviot'!$H$14&lt;0,1,'kustannus-hyötyarviot'!$H$28-'kustannus-hyötyarviot'!$H$14)</f>
        <v>210000</v>
      </c>
      <c r="U68" s="141" t="e">
        <f>IF(T68=1,-1,IRR($T$2:T68))</f>
        <v>#DIV/0!</v>
      </c>
      <c r="V68" s="142">
        <v>66</v>
      </c>
      <c r="W68" s="139">
        <f>IF('kustannus-hyötyarviot'!$D$30-'kustannus-hyötyarviot'!$H$14&lt;0,1,'kustannus-hyötyarviot'!$D$30-'kustannus-hyötyarviot'!$H$14)</f>
        <v>0</v>
      </c>
      <c r="X68" s="141" t="e">
        <f>IF(W68=1,-1,IRR($W$2:W68))</f>
        <v>#NUM!</v>
      </c>
    </row>
    <row r="69" spans="16:24" x14ac:dyDescent="0.25">
      <c r="P69" s="142">
        <v>67</v>
      </c>
      <c r="Q69" s="139">
        <f>IF('kustannus-hyötyarviot'!$D$26-'kustannus-hyötyarviot'!$H$14&lt;0,1,'kustannus-hyötyarviot'!$D$26-'kustannus-hyötyarviot'!$H$14)</f>
        <v>0</v>
      </c>
      <c r="R69" s="141" t="e">
        <f>IF(Q69=1,-1,IRR(Q$2:$Q69))</f>
        <v>#NUM!</v>
      </c>
      <c r="S69" s="142">
        <v>67</v>
      </c>
      <c r="T69" s="139">
        <f>IF('kustannus-hyötyarviot'!$H$28-'kustannus-hyötyarviot'!$H$14&lt;0,1,'kustannus-hyötyarviot'!$H$28-'kustannus-hyötyarviot'!$H$14)</f>
        <v>210000</v>
      </c>
      <c r="U69" s="141" t="e">
        <f>IF(T69=1,-1,IRR($T$2:T69))</f>
        <v>#DIV/0!</v>
      </c>
      <c r="V69" s="142">
        <v>67</v>
      </c>
      <c r="W69" s="139">
        <f>IF('kustannus-hyötyarviot'!$D$30-'kustannus-hyötyarviot'!$H$14&lt;0,1,'kustannus-hyötyarviot'!$D$30-'kustannus-hyötyarviot'!$H$14)</f>
        <v>0</v>
      </c>
      <c r="X69" s="141" t="e">
        <f>IF(W69=1,-1,IRR($W$2:W69))</f>
        <v>#NUM!</v>
      </c>
    </row>
    <row r="70" spans="16:24" x14ac:dyDescent="0.25">
      <c r="P70" s="142">
        <v>68</v>
      </c>
      <c r="Q70" s="139">
        <f>IF('kustannus-hyötyarviot'!$D$26-'kustannus-hyötyarviot'!$H$14&lt;0,1,'kustannus-hyötyarviot'!$D$26-'kustannus-hyötyarviot'!$H$14)</f>
        <v>0</v>
      </c>
      <c r="R70" s="141" t="e">
        <f>IF(Q70=1,-1,IRR(Q$2:$Q70))</f>
        <v>#NUM!</v>
      </c>
      <c r="S70" s="142">
        <v>68</v>
      </c>
      <c r="T70" s="139">
        <f>IF('kustannus-hyötyarviot'!$H$28-'kustannus-hyötyarviot'!$H$14&lt;0,1,'kustannus-hyötyarviot'!$H$28-'kustannus-hyötyarviot'!$H$14)</f>
        <v>210000</v>
      </c>
      <c r="U70" s="141" t="e">
        <f>IF(T70=1,-1,IRR($T$2:T70))</f>
        <v>#DIV/0!</v>
      </c>
      <c r="V70" s="142">
        <v>68</v>
      </c>
      <c r="W70" s="139">
        <f>IF('kustannus-hyötyarviot'!$D$30-'kustannus-hyötyarviot'!$H$14&lt;0,1,'kustannus-hyötyarviot'!$D$30-'kustannus-hyötyarviot'!$H$14)</f>
        <v>0</v>
      </c>
      <c r="X70" s="141" t="e">
        <f>IF(W70=1,-1,IRR($W$2:W70))</f>
        <v>#NUM!</v>
      </c>
    </row>
    <row r="71" spans="16:24" x14ac:dyDescent="0.25">
      <c r="P71" s="142">
        <v>69</v>
      </c>
      <c r="Q71" s="139">
        <f>IF('kustannus-hyötyarviot'!$D$26-'kustannus-hyötyarviot'!$H$14&lt;0,1,'kustannus-hyötyarviot'!$D$26-'kustannus-hyötyarviot'!$H$14)</f>
        <v>0</v>
      </c>
      <c r="R71" s="141" t="e">
        <f>IF(Q71=1,-1,IRR(Q$2:$Q71))</f>
        <v>#NUM!</v>
      </c>
      <c r="S71" s="142">
        <v>69</v>
      </c>
      <c r="T71" s="139">
        <f>IF('kustannus-hyötyarviot'!$H$28-'kustannus-hyötyarviot'!$H$14&lt;0,1,'kustannus-hyötyarviot'!$H$28-'kustannus-hyötyarviot'!$H$14)</f>
        <v>210000</v>
      </c>
      <c r="U71" s="141" t="e">
        <f>IF(T71=1,-1,IRR($T$2:T71))</f>
        <v>#DIV/0!</v>
      </c>
      <c r="V71" s="142">
        <v>69</v>
      </c>
      <c r="W71" s="139">
        <f>IF('kustannus-hyötyarviot'!$D$30-'kustannus-hyötyarviot'!$H$14&lt;0,1,'kustannus-hyötyarviot'!$D$30-'kustannus-hyötyarviot'!$H$14)</f>
        <v>0</v>
      </c>
      <c r="X71" s="141" t="e">
        <f>IF(W71=1,-1,IRR($W$2:W71))</f>
        <v>#NUM!</v>
      </c>
    </row>
    <row r="72" spans="16:24" x14ac:dyDescent="0.25">
      <c r="P72" s="142">
        <v>70</v>
      </c>
      <c r="Q72" s="139">
        <f>IF('kustannus-hyötyarviot'!$D$26-'kustannus-hyötyarviot'!$H$14&lt;0,1,'kustannus-hyötyarviot'!$D$26-'kustannus-hyötyarviot'!$H$14)</f>
        <v>0</v>
      </c>
      <c r="R72" s="141" t="e">
        <f>IF(Q72=1,-1,IRR(Q$2:$Q72))</f>
        <v>#NUM!</v>
      </c>
      <c r="S72" s="142">
        <v>70</v>
      </c>
      <c r="T72" s="139">
        <f>IF('kustannus-hyötyarviot'!$H$28-'kustannus-hyötyarviot'!$H$14&lt;0,1,'kustannus-hyötyarviot'!$H$28-'kustannus-hyötyarviot'!$H$14)</f>
        <v>210000</v>
      </c>
      <c r="U72" s="141" t="e">
        <f>IF(T72=1,-1,IRR($T$2:T72))</f>
        <v>#DIV/0!</v>
      </c>
      <c r="V72" s="142">
        <v>70</v>
      </c>
      <c r="W72" s="139">
        <f>IF('kustannus-hyötyarviot'!$D$30-'kustannus-hyötyarviot'!$H$14&lt;0,1,'kustannus-hyötyarviot'!$D$30-'kustannus-hyötyarviot'!$H$14)</f>
        <v>0</v>
      </c>
      <c r="X72" s="141" t="e">
        <f>IF(W72=1,-1,IRR($W$2:W72))</f>
        <v>#NUM!</v>
      </c>
    </row>
    <row r="73" spans="16:24" x14ac:dyDescent="0.25">
      <c r="P73" s="142">
        <v>71</v>
      </c>
      <c r="Q73" s="139">
        <f>IF('kustannus-hyötyarviot'!$D$26-'kustannus-hyötyarviot'!$H$14&lt;0,1,'kustannus-hyötyarviot'!$D$26-'kustannus-hyötyarviot'!$H$14)</f>
        <v>0</v>
      </c>
      <c r="R73" s="141" t="e">
        <f>IF(Q73=1,-1,IRR(Q$2:$Q73))</f>
        <v>#NUM!</v>
      </c>
      <c r="S73" s="142">
        <v>71</v>
      </c>
      <c r="T73" s="139">
        <f>IF('kustannus-hyötyarviot'!$H$28-'kustannus-hyötyarviot'!$H$14&lt;0,1,'kustannus-hyötyarviot'!$H$28-'kustannus-hyötyarviot'!$H$14)</f>
        <v>210000</v>
      </c>
      <c r="U73" s="141" t="e">
        <f>IF(T73=1,-1,IRR($T$2:T73))</f>
        <v>#DIV/0!</v>
      </c>
      <c r="V73" s="142">
        <v>71</v>
      </c>
      <c r="W73" s="139">
        <f>IF('kustannus-hyötyarviot'!$D$30-'kustannus-hyötyarviot'!$H$14&lt;0,1,'kustannus-hyötyarviot'!$D$30-'kustannus-hyötyarviot'!$H$14)</f>
        <v>0</v>
      </c>
      <c r="X73" s="141" t="e">
        <f>IF(W73=1,-1,IRR($W$2:W73))</f>
        <v>#NUM!</v>
      </c>
    </row>
    <row r="74" spans="16:24" x14ac:dyDescent="0.25">
      <c r="P74" s="142">
        <v>72</v>
      </c>
      <c r="Q74" s="139">
        <f>IF('kustannus-hyötyarviot'!$D$26-'kustannus-hyötyarviot'!$H$14&lt;0,1,'kustannus-hyötyarviot'!$D$26-'kustannus-hyötyarviot'!$H$14)</f>
        <v>0</v>
      </c>
      <c r="R74" s="141" t="e">
        <f>IF(Q74=1,-1,IRR(Q$2:$Q74))</f>
        <v>#NUM!</v>
      </c>
      <c r="S74" s="142">
        <v>72</v>
      </c>
      <c r="T74" s="139">
        <f>IF('kustannus-hyötyarviot'!$H$28-'kustannus-hyötyarviot'!$H$14&lt;0,1,'kustannus-hyötyarviot'!$H$28-'kustannus-hyötyarviot'!$H$14)</f>
        <v>210000</v>
      </c>
      <c r="U74" s="141" t="e">
        <f>IF(T74=1,-1,IRR($T$2:T74))</f>
        <v>#DIV/0!</v>
      </c>
      <c r="V74" s="142">
        <v>72</v>
      </c>
      <c r="W74" s="139">
        <f>IF('kustannus-hyötyarviot'!$D$30-'kustannus-hyötyarviot'!$H$14&lt;0,1,'kustannus-hyötyarviot'!$D$30-'kustannus-hyötyarviot'!$H$14)</f>
        <v>0</v>
      </c>
      <c r="X74" s="141" t="e">
        <f>IF(W74=1,-1,IRR($W$2:W74))</f>
        <v>#NUM!</v>
      </c>
    </row>
    <row r="75" spans="16:24" x14ac:dyDescent="0.25">
      <c r="P75" s="142">
        <v>73</v>
      </c>
      <c r="Q75" s="139">
        <f>IF('kustannus-hyötyarviot'!$D$26-'kustannus-hyötyarviot'!$H$14&lt;0,1,'kustannus-hyötyarviot'!$D$26-'kustannus-hyötyarviot'!$H$14)</f>
        <v>0</v>
      </c>
      <c r="R75" s="141" t="e">
        <f>IF(Q75=1,-1,IRR(Q$2:$Q75))</f>
        <v>#NUM!</v>
      </c>
      <c r="S75" s="142">
        <v>73</v>
      </c>
      <c r="T75" s="139">
        <f>IF('kustannus-hyötyarviot'!$H$28-'kustannus-hyötyarviot'!$H$14&lt;0,1,'kustannus-hyötyarviot'!$H$28-'kustannus-hyötyarviot'!$H$14)</f>
        <v>210000</v>
      </c>
      <c r="U75" s="141" t="e">
        <f>IF(T75=1,-1,IRR($T$2:T75))</f>
        <v>#DIV/0!</v>
      </c>
      <c r="V75" s="142">
        <v>73</v>
      </c>
      <c r="W75" s="139">
        <f>IF('kustannus-hyötyarviot'!$D$30-'kustannus-hyötyarviot'!$H$14&lt;0,1,'kustannus-hyötyarviot'!$D$30-'kustannus-hyötyarviot'!$H$14)</f>
        <v>0</v>
      </c>
      <c r="X75" s="141" t="e">
        <f>IF(W75=1,-1,IRR($W$2:W75))</f>
        <v>#NUM!</v>
      </c>
    </row>
    <row r="76" spans="16:24" x14ac:dyDescent="0.25">
      <c r="P76" s="142">
        <v>74</v>
      </c>
      <c r="Q76" s="139">
        <f>IF('kustannus-hyötyarviot'!$D$26-'kustannus-hyötyarviot'!$H$14&lt;0,1,'kustannus-hyötyarviot'!$D$26-'kustannus-hyötyarviot'!$H$14)</f>
        <v>0</v>
      </c>
      <c r="R76" s="141" t="e">
        <f>IF(Q76=1,-1,IRR(Q$2:$Q76))</f>
        <v>#NUM!</v>
      </c>
      <c r="S76" s="142">
        <v>74</v>
      </c>
      <c r="T76" s="139">
        <f>IF('kustannus-hyötyarviot'!$H$28-'kustannus-hyötyarviot'!$H$14&lt;0,1,'kustannus-hyötyarviot'!$H$28-'kustannus-hyötyarviot'!$H$14)</f>
        <v>210000</v>
      </c>
      <c r="U76" s="141" t="e">
        <f>IF(T76=1,-1,IRR($T$2:T76))</f>
        <v>#DIV/0!</v>
      </c>
      <c r="V76" s="142">
        <v>74</v>
      </c>
      <c r="W76" s="139">
        <f>IF('kustannus-hyötyarviot'!$D$30-'kustannus-hyötyarviot'!$H$14&lt;0,1,'kustannus-hyötyarviot'!$D$30-'kustannus-hyötyarviot'!$H$14)</f>
        <v>0</v>
      </c>
      <c r="X76" s="141" t="e">
        <f>IF(W76=1,-1,IRR($W$2:W76))</f>
        <v>#NUM!</v>
      </c>
    </row>
    <row r="77" spans="16:24" x14ac:dyDescent="0.25">
      <c r="P77" s="142">
        <v>75</v>
      </c>
      <c r="Q77" s="139">
        <f>IF('kustannus-hyötyarviot'!$D$26-'kustannus-hyötyarviot'!$H$14&lt;0,1,'kustannus-hyötyarviot'!$D$26-'kustannus-hyötyarviot'!$H$14)</f>
        <v>0</v>
      </c>
      <c r="R77" s="141" t="e">
        <f>IF(Q77=1,-1,IRR(Q$2:$Q77))</f>
        <v>#NUM!</v>
      </c>
      <c r="S77" s="142">
        <v>75</v>
      </c>
      <c r="T77" s="139">
        <f>IF('kustannus-hyötyarviot'!$H$28-'kustannus-hyötyarviot'!$H$14&lt;0,1,'kustannus-hyötyarviot'!$H$28-'kustannus-hyötyarviot'!$H$14)</f>
        <v>210000</v>
      </c>
      <c r="U77" s="141" t="e">
        <f>IF(T77=1,-1,IRR($T$2:T77))</f>
        <v>#DIV/0!</v>
      </c>
      <c r="V77" s="142">
        <v>75</v>
      </c>
      <c r="W77" s="139">
        <f>IF('kustannus-hyötyarviot'!$D$30-'kustannus-hyötyarviot'!$H$14&lt;0,1,'kustannus-hyötyarviot'!$D$30-'kustannus-hyötyarviot'!$H$14)</f>
        <v>0</v>
      </c>
      <c r="X77" s="141" t="e">
        <f>IF(W77=1,-1,IRR($W$2:W77))</f>
        <v>#NUM!</v>
      </c>
    </row>
    <row r="78" spans="16:24" x14ac:dyDescent="0.25">
      <c r="P78" s="142">
        <v>76</v>
      </c>
      <c r="Q78" s="139">
        <f>IF('kustannus-hyötyarviot'!$D$26-'kustannus-hyötyarviot'!$H$14&lt;0,1,'kustannus-hyötyarviot'!$D$26-'kustannus-hyötyarviot'!$H$14)</f>
        <v>0</v>
      </c>
      <c r="R78" s="141" t="e">
        <f>IF(Q78=1,-1,IRR(Q$2:$Q78))</f>
        <v>#NUM!</v>
      </c>
      <c r="S78" s="142">
        <v>76</v>
      </c>
      <c r="T78" s="139">
        <f>IF('kustannus-hyötyarviot'!$H$28-'kustannus-hyötyarviot'!$H$14&lt;0,1,'kustannus-hyötyarviot'!$H$28-'kustannus-hyötyarviot'!$H$14)</f>
        <v>210000</v>
      </c>
      <c r="U78" s="141" t="e">
        <f>IF(T78=1,-1,IRR($T$2:T78))</f>
        <v>#DIV/0!</v>
      </c>
      <c r="V78" s="142">
        <v>76</v>
      </c>
      <c r="W78" s="139">
        <f>IF('kustannus-hyötyarviot'!$D$30-'kustannus-hyötyarviot'!$H$14&lt;0,1,'kustannus-hyötyarviot'!$D$30-'kustannus-hyötyarviot'!$H$14)</f>
        <v>0</v>
      </c>
      <c r="X78" s="141" t="e">
        <f>IF(W78=1,-1,IRR($W$2:W78))</f>
        <v>#NUM!</v>
      </c>
    </row>
    <row r="79" spans="16:24" x14ac:dyDescent="0.25">
      <c r="P79" s="142">
        <v>77</v>
      </c>
      <c r="Q79" s="139">
        <f>IF('kustannus-hyötyarviot'!$D$26-'kustannus-hyötyarviot'!$H$14&lt;0,1,'kustannus-hyötyarviot'!$D$26-'kustannus-hyötyarviot'!$H$14)</f>
        <v>0</v>
      </c>
      <c r="R79" s="141" t="e">
        <f>IF(Q79=1,-1,IRR(Q$2:$Q79))</f>
        <v>#NUM!</v>
      </c>
      <c r="S79" s="142">
        <v>77</v>
      </c>
      <c r="T79" s="139">
        <f>IF('kustannus-hyötyarviot'!$H$28-'kustannus-hyötyarviot'!$H$14&lt;0,1,'kustannus-hyötyarviot'!$H$28-'kustannus-hyötyarviot'!$H$14)</f>
        <v>210000</v>
      </c>
      <c r="U79" s="141" t="e">
        <f>IF(T79=1,-1,IRR($T$2:T79))</f>
        <v>#DIV/0!</v>
      </c>
      <c r="V79" s="142">
        <v>77</v>
      </c>
      <c r="W79" s="139">
        <f>IF('kustannus-hyötyarviot'!$D$30-'kustannus-hyötyarviot'!$H$14&lt;0,1,'kustannus-hyötyarviot'!$D$30-'kustannus-hyötyarviot'!$H$14)</f>
        <v>0</v>
      </c>
      <c r="X79" s="141" t="e">
        <f>IF(W79=1,-1,IRR($W$2:W79))</f>
        <v>#NUM!</v>
      </c>
    </row>
    <row r="80" spans="16:24" x14ac:dyDescent="0.25">
      <c r="P80" s="142">
        <v>78</v>
      </c>
      <c r="Q80" s="139">
        <f>IF('kustannus-hyötyarviot'!$D$26-'kustannus-hyötyarviot'!$H$14&lt;0,1,'kustannus-hyötyarviot'!$D$26-'kustannus-hyötyarviot'!$H$14)</f>
        <v>0</v>
      </c>
      <c r="R80" s="141" t="e">
        <f>IF(Q80=1,-1,IRR(Q$2:$Q80))</f>
        <v>#NUM!</v>
      </c>
      <c r="S80" s="142">
        <v>78</v>
      </c>
      <c r="T80" s="139">
        <f>IF('kustannus-hyötyarviot'!$H$28-'kustannus-hyötyarviot'!$H$14&lt;0,1,'kustannus-hyötyarviot'!$H$28-'kustannus-hyötyarviot'!$H$14)</f>
        <v>210000</v>
      </c>
      <c r="U80" s="141" t="e">
        <f>IF(T80=1,-1,IRR($T$2:T80))</f>
        <v>#DIV/0!</v>
      </c>
      <c r="V80" s="142">
        <v>78</v>
      </c>
      <c r="W80" s="139">
        <f>IF('kustannus-hyötyarviot'!$D$30-'kustannus-hyötyarviot'!$H$14&lt;0,1,'kustannus-hyötyarviot'!$D$30-'kustannus-hyötyarviot'!$H$14)</f>
        <v>0</v>
      </c>
      <c r="X80" s="141" t="e">
        <f>IF(W80=1,-1,IRR($W$2:W80))</f>
        <v>#NUM!</v>
      </c>
    </row>
    <row r="81" spans="16:24" x14ac:dyDescent="0.25">
      <c r="P81" s="142">
        <v>79</v>
      </c>
      <c r="Q81" s="139">
        <f>IF('kustannus-hyötyarviot'!$D$26-'kustannus-hyötyarviot'!$H$14&lt;0,1,'kustannus-hyötyarviot'!$D$26-'kustannus-hyötyarviot'!$H$14)</f>
        <v>0</v>
      </c>
      <c r="R81" s="141" t="e">
        <f>IF(Q81=1,-1,IRR(Q$2:$Q81))</f>
        <v>#NUM!</v>
      </c>
      <c r="S81" s="142">
        <v>79</v>
      </c>
      <c r="T81" s="139">
        <f>IF('kustannus-hyötyarviot'!$H$28-'kustannus-hyötyarviot'!$H$14&lt;0,1,'kustannus-hyötyarviot'!$H$28-'kustannus-hyötyarviot'!$H$14)</f>
        <v>210000</v>
      </c>
      <c r="U81" s="141" t="e">
        <f>IF(T81=1,-1,IRR($T$2:T81))</f>
        <v>#DIV/0!</v>
      </c>
      <c r="V81" s="142">
        <v>79</v>
      </c>
      <c r="W81" s="139">
        <f>IF('kustannus-hyötyarviot'!$D$30-'kustannus-hyötyarviot'!$H$14&lt;0,1,'kustannus-hyötyarviot'!$D$30-'kustannus-hyötyarviot'!$H$14)</f>
        <v>0</v>
      </c>
      <c r="X81" s="141" t="e">
        <f>IF(W81=1,-1,IRR($W$2:W81))</f>
        <v>#NUM!</v>
      </c>
    </row>
    <row r="82" spans="16:24" x14ac:dyDescent="0.25">
      <c r="P82" s="142">
        <v>80</v>
      </c>
      <c r="Q82" s="139">
        <f>IF('kustannus-hyötyarviot'!$D$26-'kustannus-hyötyarviot'!$H$14&lt;0,1,'kustannus-hyötyarviot'!$D$26-'kustannus-hyötyarviot'!$H$14)</f>
        <v>0</v>
      </c>
      <c r="R82" s="141" t="e">
        <f>IF(Q82=1,-1,IRR(Q$2:$Q82))</f>
        <v>#NUM!</v>
      </c>
      <c r="S82" s="142">
        <v>80</v>
      </c>
      <c r="T82" s="139">
        <f>IF('kustannus-hyötyarviot'!$H$28-'kustannus-hyötyarviot'!$H$14&lt;0,1,'kustannus-hyötyarviot'!$H$28-'kustannus-hyötyarviot'!$H$14)</f>
        <v>210000</v>
      </c>
      <c r="U82" s="141" t="e">
        <f>IF(T82=1,-1,IRR($T$2:T82))</f>
        <v>#DIV/0!</v>
      </c>
      <c r="V82" s="142">
        <v>80</v>
      </c>
      <c r="W82" s="139">
        <f>IF('kustannus-hyötyarviot'!$D$30-'kustannus-hyötyarviot'!$H$14&lt;0,1,'kustannus-hyötyarviot'!$D$30-'kustannus-hyötyarviot'!$H$14)</f>
        <v>0</v>
      </c>
      <c r="X82" s="141" t="e">
        <f>IF(W82=1,-1,IRR($W$2:W82))</f>
        <v>#NUM!</v>
      </c>
    </row>
    <row r="83" spans="16:24" x14ac:dyDescent="0.25">
      <c r="P83" s="142">
        <v>81</v>
      </c>
      <c r="Q83" s="139">
        <f>IF('kustannus-hyötyarviot'!$D$26-'kustannus-hyötyarviot'!$H$14&lt;0,1,'kustannus-hyötyarviot'!$D$26-'kustannus-hyötyarviot'!$H$14)</f>
        <v>0</v>
      </c>
      <c r="R83" s="141" t="e">
        <f>IF(Q83=1,-1,IRR(Q$2:$Q83))</f>
        <v>#NUM!</v>
      </c>
      <c r="S83" s="142">
        <v>81</v>
      </c>
      <c r="T83" s="139">
        <f>IF('kustannus-hyötyarviot'!$H$28-'kustannus-hyötyarviot'!$H$14&lt;0,1,'kustannus-hyötyarviot'!$H$28-'kustannus-hyötyarviot'!$H$14)</f>
        <v>210000</v>
      </c>
      <c r="U83" s="141" t="e">
        <f>IF(T83=1,-1,IRR($T$2:T83))</f>
        <v>#DIV/0!</v>
      </c>
      <c r="V83" s="142">
        <v>81</v>
      </c>
      <c r="W83" s="139">
        <f>IF('kustannus-hyötyarviot'!$D$30-'kustannus-hyötyarviot'!$H$14&lt;0,1,'kustannus-hyötyarviot'!$D$30-'kustannus-hyötyarviot'!$H$14)</f>
        <v>0</v>
      </c>
      <c r="X83" s="141" t="e">
        <f>IF(W83=1,-1,IRR($W$2:W83))</f>
        <v>#NUM!</v>
      </c>
    </row>
    <row r="84" spans="16:24" x14ac:dyDescent="0.25">
      <c r="P84" s="142">
        <v>82</v>
      </c>
      <c r="Q84" s="139">
        <f>IF('kustannus-hyötyarviot'!$D$26-'kustannus-hyötyarviot'!$H$14&lt;0,1,'kustannus-hyötyarviot'!$D$26-'kustannus-hyötyarviot'!$H$14)</f>
        <v>0</v>
      </c>
      <c r="R84" s="141" t="e">
        <f>IF(Q84=1,-1,IRR(Q$2:$Q84))</f>
        <v>#NUM!</v>
      </c>
      <c r="S84" s="142">
        <v>82</v>
      </c>
      <c r="T84" s="139">
        <f>IF('kustannus-hyötyarviot'!$H$28-'kustannus-hyötyarviot'!$H$14&lt;0,1,'kustannus-hyötyarviot'!$H$28-'kustannus-hyötyarviot'!$H$14)</f>
        <v>210000</v>
      </c>
      <c r="U84" s="141" t="e">
        <f>IF(T84=1,-1,IRR($T$2:T84))</f>
        <v>#DIV/0!</v>
      </c>
      <c r="V84" s="142">
        <v>82</v>
      </c>
      <c r="W84" s="139">
        <f>IF('kustannus-hyötyarviot'!$D$30-'kustannus-hyötyarviot'!$H$14&lt;0,1,'kustannus-hyötyarviot'!$D$30-'kustannus-hyötyarviot'!$H$14)</f>
        <v>0</v>
      </c>
      <c r="X84" s="141" t="e">
        <f>IF(W84=1,-1,IRR($W$2:W84))</f>
        <v>#NUM!</v>
      </c>
    </row>
    <row r="85" spans="16:24" x14ac:dyDescent="0.25">
      <c r="P85" s="142">
        <v>83</v>
      </c>
      <c r="Q85" s="139">
        <f>IF('kustannus-hyötyarviot'!$D$26-'kustannus-hyötyarviot'!$H$14&lt;0,1,'kustannus-hyötyarviot'!$D$26-'kustannus-hyötyarviot'!$H$14)</f>
        <v>0</v>
      </c>
      <c r="R85" s="141" t="e">
        <f>IF(Q85=1,-1,IRR(Q$2:$Q85))</f>
        <v>#NUM!</v>
      </c>
      <c r="S85" s="142">
        <v>83</v>
      </c>
      <c r="T85" s="139">
        <f>IF('kustannus-hyötyarviot'!$H$28-'kustannus-hyötyarviot'!$H$14&lt;0,1,'kustannus-hyötyarviot'!$H$28-'kustannus-hyötyarviot'!$H$14)</f>
        <v>210000</v>
      </c>
      <c r="U85" s="141" t="e">
        <f>IF(T85=1,-1,IRR($T$2:T85))</f>
        <v>#DIV/0!</v>
      </c>
      <c r="V85" s="142">
        <v>83</v>
      </c>
      <c r="W85" s="139">
        <f>IF('kustannus-hyötyarviot'!$D$30-'kustannus-hyötyarviot'!$H$14&lt;0,1,'kustannus-hyötyarviot'!$D$30-'kustannus-hyötyarviot'!$H$14)</f>
        <v>0</v>
      </c>
      <c r="X85" s="141" t="e">
        <f>IF(W85=1,-1,IRR($W$2:W85))</f>
        <v>#NUM!</v>
      </c>
    </row>
    <row r="86" spans="16:24" x14ac:dyDescent="0.25">
      <c r="P86" s="142">
        <v>84</v>
      </c>
      <c r="Q86" s="139">
        <f>IF('kustannus-hyötyarviot'!$D$26-'kustannus-hyötyarviot'!$H$14&lt;0,1,'kustannus-hyötyarviot'!$D$26-'kustannus-hyötyarviot'!$H$14)</f>
        <v>0</v>
      </c>
      <c r="R86" s="141" t="e">
        <f>IF(Q86=1,-1,IRR(Q$2:$Q86))</f>
        <v>#NUM!</v>
      </c>
      <c r="S86" s="142">
        <v>84</v>
      </c>
      <c r="T86" s="139">
        <f>IF('kustannus-hyötyarviot'!$H$28-'kustannus-hyötyarviot'!$H$14&lt;0,1,'kustannus-hyötyarviot'!$H$28-'kustannus-hyötyarviot'!$H$14)</f>
        <v>210000</v>
      </c>
      <c r="U86" s="141" t="e">
        <f>IF(T86=1,-1,IRR($T$2:T86))</f>
        <v>#DIV/0!</v>
      </c>
      <c r="V86" s="142">
        <v>84</v>
      </c>
      <c r="W86" s="139">
        <f>IF('kustannus-hyötyarviot'!$D$30-'kustannus-hyötyarviot'!$H$14&lt;0,1,'kustannus-hyötyarviot'!$D$30-'kustannus-hyötyarviot'!$H$14)</f>
        <v>0</v>
      </c>
      <c r="X86" s="141" t="e">
        <f>IF(W86=1,-1,IRR($W$2:W86))</f>
        <v>#NUM!</v>
      </c>
    </row>
    <row r="87" spans="16:24" x14ac:dyDescent="0.25">
      <c r="P87" s="142">
        <v>85</v>
      </c>
      <c r="Q87" s="139">
        <f>IF('kustannus-hyötyarviot'!$D$26-'kustannus-hyötyarviot'!$H$14&lt;0,1,'kustannus-hyötyarviot'!$D$26-'kustannus-hyötyarviot'!$H$14)</f>
        <v>0</v>
      </c>
      <c r="R87" s="141" t="e">
        <f>IF(Q87=1,-1,IRR(Q$2:$Q87))</f>
        <v>#NUM!</v>
      </c>
      <c r="S87" s="142">
        <v>85</v>
      </c>
      <c r="T87" s="139">
        <f>IF('kustannus-hyötyarviot'!$H$28-'kustannus-hyötyarviot'!$H$14&lt;0,1,'kustannus-hyötyarviot'!$H$28-'kustannus-hyötyarviot'!$H$14)</f>
        <v>210000</v>
      </c>
      <c r="U87" s="141" t="e">
        <f>IF(T87=1,-1,IRR($T$2:T87))</f>
        <v>#DIV/0!</v>
      </c>
      <c r="V87" s="142">
        <v>85</v>
      </c>
      <c r="W87" s="139">
        <f>IF('kustannus-hyötyarviot'!$D$30-'kustannus-hyötyarviot'!$H$14&lt;0,1,'kustannus-hyötyarviot'!$D$30-'kustannus-hyötyarviot'!$H$14)</f>
        <v>0</v>
      </c>
      <c r="X87" s="141" t="e">
        <f>IF(W87=1,-1,IRR($W$2:W87))</f>
        <v>#NUM!</v>
      </c>
    </row>
    <row r="88" spans="16:24" x14ac:dyDescent="0.25">
      <c r="P88" s="142">
        <v>86</v>
      </c>
      <c r="Q88" s="139">
        <f>IF('kustannus-hyötyarviot'!$D$26-'kustannus-hyötyarviot'!$H$14&lt;0,1,'kustannus-hyötyarviot'!$D$26-'kustannus-hyötyarviot'!$H$14)</f>
        <v>0</v>
      </c>
      <c r="R88" s="141" t="e">
        <f>IF(Q88=1,-1,IRR(Q$2:$Q88))</f>
        <v>#NUM!</v>
      </c>
      <c r="S88" s="142">
        <v>86</v>
      </c>
      <c r="T88" s="139">
        <f>IF('kustannus-hyötyarviot'!$H$28-'kustannus-hyötyarviot'!$H$14&lt;0,1,'kustannus-hyötyarviot'!$H$28-'kustannus-hyötyarviot'!$H$14)</f>
        <v>210000</v>
      </c>
      <c r="U88" s="141" t="e">
        <f>IF(T88=1,-1,IRR($T$2:T88))</f>
        <v>#DIV/0!</v>
      </c>
      <c r="V88" s="142">
        <v>86</v>
      </c>
      <c r="W88" s="139">
        <f>IF('kustannus-hyötyarviot'!$D$30-'kustannus-hyötyarviot'!$H$14&lt;0,1,'kustannus-hyötyarviot'!$D$30-'kustannus-hyötyarviot'!$H$14)</f>
        <v>0</v>
      </c>
      <c r="X88" s="141" t="e">
        <f>IF(W88=1,-1,IRR($W$2:W88))</f>
        <v>#NUM!</v>
      </c>
    </row>
    <row r="89" spans="16:24" x14ac:dyDescent="0.25">
      <c r="P89" s="142">
        <v>87</v>
      </c>
      <c r="Q89" s="139">
        <f>IF('kustannus-hyötyarviot'!$D$26-'kustannus-hyötyarviot'!$H$14&lt;0,1,'kustannus-hyötyarviot'!$D$26-'kustannus-hyötyarviot'!$H$14)</f>
        <v>0</v>
      </c>
      <c r="R89" s="141" t="e">
        <f>IF(Q89=1,-1,IRR(Q$2:$Q89))</f>
        <v>#NUM!</v>
      </c>
      <c r="S89" s="142">
        <v>87</v>
      </c>
      <c r="T89" s="139">
        <f>IF('kustannus-hyötyarviot'!$H$28-'kustannus-hyötyarviot'!$H$14&lt;0,1,'kustannus-hyötyarviot'!$H$28-'kustannus-hyötyarviot'!$H$14)</f>
        <v>210000</v>
      </c>
      <c r="U89" s="141" t="e">
        <f>IF(T89=1,-1,IRR($T$2:T89))</f>
        <v>#DIV/0!</v>
      </c>
      <c r="V89" s="142">
        <v>87</v>
      </c>
      <c r="W89" s="139">
        <f>IF('kustannus-hyötyarviot'!$D$30-'kustannus-hyötyarviot'!$H$14&lt;0,1,'kustannus-hyötyarviot'!$D$30-'kustannus-hyötyarviot'!$H$14)</f>
        <v>0</v>
      </c>
      <c r="X89" s="141" t="e">
        <f>IF(W89=1,-1,IRR($W$2:W89))</f>
        <v>#NUM!</v>
      </c>
    </row>
    <row r="90" spans="16:24" x14ac:dyDescent="0.25">
      <c r="P90" s="142">
        <v>88</v>
      </c>
      <c r="Q90" s="139">
        <f>IF('kustannus-hyötyarviot'!$D$26-'kustannus-hyötyarviot'!$H$14&lt;0,1,'kustannus-hyötyarviot'!$D$26-'kustannus-hyötyarviot'!$H$14)</f>
        <v>0</v>
      </c>
      <c r="R90" s="141" t="e">
        <f>IF(Q90=1,-1,IRR(Q$2:$Q90))</f>
        <v>#NUM!</v>
      </c>
      <c r="S90" s="142">
        <v>88</v>
      </c>
      <c r="T90" s="139">
        <f>IF('kustannus-hyötyarviot'!$H$28-'kustannus-hyötyarviot'!$H$14&lt;0,1,'kustannus-hyötyarviot'!$H$28-'kustannus-hyötyarviot'!$H$14)</f>
        <v>210000</v>
      </c>
      <c r="U90" s="141" t="e">
        <f>IF(T90=1,-1,IRR($T$2:T90))</f>
        <v>#DIV/0!</v>
      </c>
      <c r="V90" s="142">
        <v>88</v>
      </c>
      <c r="W90" s="139">
        <f>IF('kustannus-hyötyarviot'!$D$30-'kustannus-hyötyarviot'!$H$14&lt;0,1,'kustannus-hyötyarviot'!$D$30-'kustannus-hyötyarviot'!$H$14)</f>
        <v>0</v>
      </c>
      <c r="X90" s="141" t="e">
        <f>IF(W90=1,-1,IRR($W$2:W90))</f>
        <v>#NUM!</v>
      </c>
    </row>
    <row r="91" spans="16:24" x14ac:dyDescent="0.25">
      <c r="P91" s="142">
        <v>89</v>
      </c>
      <c r="Q91" s="139">
        <f>IF('kustannus-hyötyarviot'!$D$26-'kustannus-hyötyarviot'!$H$14&lt;0,1,'kustannus-hyötyarviot'!$D$26-'kustannus-hyötyarviot'!$H$14)</f>
        <v>0</v>
      </c>
      <c r="R91" s="141" t="e">
        <f>IF(Q91=1,-1,IRR(Q$2:$Q91))</f>
        <v>#NUM!</v>
      </c>
      <c r="S91" s="142">
        <v>89</v>
      </c>
      <c r="T91" s="139">
        <f>IF('kustannus-hyötyarviot'!$H$28-'kustannus-hyötyarviot'!$H$14&lt;0,1,'kustannus-hyötyarviot'!$H$28-'kustannus-hyötyarviot'!$H$14)</f>
        <v>210000</v>
      </c>
      <c r="U91" s="141" t="e">
        <f>IF(T91=1,-1,IRR($T$2:T91))</f>
        <v>#DIV/0!</v>
      </c>
      <c r="V91" s="142">
        <v>89</v>
      </c>
      <c r="W91" s="139">
        <f>IF('kustannus-hyötyarviot'!$D$30-'kustannus-hyötyarviot'!$H$14&lt;0,1,'kustannus-hyötyarviot'!$D$30-'kustannus-hyötyarviot'!$H$14)</f>
        <v>0</v>
      </c>
      <c r="X91" s="141" t="e">
        <f>IF(W91=1,-1,IRR($W$2:W91))</f>
        <v>#NUM!</v>
      </c>
    </row>
    <row r="92" spans="16:24" x14ac:dyDescent="0.25">
      <c r="P92" s="142">
        <v>90</v>
      </c>
      <c r="Q92" s="139">
        <f>IF('kustannus-hyötyarviot'!$D$26-'kustannus-hyötyarviot'!$H$14&lt;0,1,'kustannus-hyötyarviot'!$D$26-'kustannus-hyötyarviot'!$H$14)</f>
        <v>0</v>
      </c>
      <c r="R92" s="141" t="e">
        <f>IF(Q92=1,-1,IRR(Q$2:$Q92))</f>
        <v>#NUM!</v>
      </c>
      <c r="S92" s="142">
        <v>90</v>
      </c>
      <c r="T92" s="139">
        <f>IF('kustannus-hyötyarviot'!$H$28-'kustannus-hyötyarviot'!$H$14&lt;0,1,'kustannus-hyötyarviot'!$H$28-'kustannus-hyötyarviot'!$H$14)</f>
        <v>210000</v>
      </c>
      <c r="U92" s="141" t="e">
        <f>IF(T92=1,-1,IRR($T$2:T92))</f>
        <v>#DIV/0!</v>
      </c>
      <c r="V92" s="142">
        <v>90</v>
      </c>
      <c r="W92" s="139">
        <f>IF('kustannus-hyötyarviot'!$D$30-'kustannus-hyötyarviot'!$H$14&lt;0,1,'kustannus-hyötyarviot'!$D$30-'kustannus-hyötyarviot'!$H$14)</f>
        <v>0</v>
      </c>
      <c r="X92" s="141" t="e">
        <f>IF(W92=1,-1,IRR($W$2:W92))</f>
        <v>#NUM!</v>
      </c>
    </row>
    <row r="93" spans="16:24" x14ac:dyDescent="0.25">
      <c r="P93" s="142">
        <v>91</v>
      </c>
      <c r="Q93" s="139">
        <f>IF('kustannus-hyötyarviot'!$D$26-'kustannus-hyötyarviot'!$H$14&lt;0,1,'kustannus-hyötyarviot'!$D$26-'kustannus-hyötyarviot'!$H$14)</f>
        <v>0</v>
      </c>
      <c r="R93" s="141" t="e">
        <f>IF(Q93=1,-1,IRR(Q$2:$Q93))</f>
        <v>#NUM!</v>
      </c>
      <c r="S93" s="142">
        <v>91</v>
      </c>
      <c r="T93" s="139">
        <f>IF('kustannus-hyötyarviot'!$H$28-'kustannus-hyötyarviot'!$H$14&lt;0,1,'kustannus-hyötyarviot'!$H$28-'kustannus-hyötyarviot'!$H$14)</f>
        <v>210000</v>
      </c>
      <c r="U93" s="141" t="e">
        <f>IF(T93=1,-1,IRR($T$2:T93))</f>
        <v>#DIV/0!</v>
      </c>
      <c r="V93" s="142">
        <v>91</v>
      </c>
      <c r="W93" s="139">
        <f>IF('kustannus-hyötyarviot'!$D$30-'kustannus-hyötyarviot'!$H$14&lt;0,1,'kustannus-hyötyarviot'!$D$30-'kustannus-hyötyarviot'!$H$14)</f>
        <v>0</v>
      </c>
      <c r="X93" s="141" t="e">
        <f>IF(W93=1,-1,IRR($W$2:W93))</f>
        <v>#NUM!</v>
      </c>
    </row>
    <row r="94" spans="16:24" x14ac:dyDescent="0.25">
      <c r="P94" s="142">
        <v>92</v>
      </c>
      <c r="Q94" s="139">
        <f>IF('kustannus-hyötyarviot'!$D$26-'kustannus-hyötyarviot'!$H$14&lt;0,1,'kustannus-hyötyarviot'!$D$26-'kustannus-hyötyarviot'!$H$14)</f>
        <v>0</v>
      </c>
      <c r="R94" s="141" t="e">
        <f>IF(Q94=1,-1,IRR(Q$2:$Q94))</f>
        <v>#NUM!</v>
      </c>
      <c r="S94" s="142">
        <v>92</v>
      </c>
      <c r="T94" s="139">
        <f>IF('kustannus-hyötyarviot'!$H$28-'kustannus-hyötyarviot'!$H$14&lt;0,1,'kustannus-hyötyarviot'!$H$28-'kustannus-hyötyarviot'!$H$14)</f>
        <v>210000</v>
      </c>
      <c r="U94" s="141" t="e">
        <f>IF(T94=1,-1,IRR($T$2:T94))</f>
        <v>#DIV/0!</v>
      </c>
      <c r="V94" s="142">
        <v>92</v>
      </c>
      <c r="W94" s="139">
        <f>IF('kustannus-hyötyarviot'!$D$30-'kustannus-hyötyarviot'!$H$14&lt;0,1,'kustannus-hyötyarviot'!$D$30-'kustannus-hyötyarviot'!$H$14)</f>
        <v>0</v>
      </c>
      <c r="X94" s="141" t="e">
        <f>IF(W94=1,-1,IRR($W$2:W94))</f>
        <v>#NUM!</v>
      </c>
    </row>
    <row r="95" spans="16:24" x14ac:dyDescent="0.25">
      <c r="P95" s="142">
        <v>93</v>
      </c>
      <c r="Q95" s="139">
        <f>IF('kustannus-hyötyarviot'!$D$26-'kustannus-hyötyarviot'!$H$14&lt;0,1,'kustannus-hyötyarviot'!$D$26-'kustannus-hyötyarviot'!$H$14)</f>
        <v>0</v>
      </c>
      <c r="R95" s="141" t="e">
        <f>IF(Q95=1,-1,IRR(Q$2:$Q95))</f>
        <v>#NUM!</v>
      </c>
      <c r="S95" s="142">
        <v>93</v>
      </c>
      <c r="T95" s="139">
        <f>IF('kustannus-hyötyarviot'!$H$28-'kustannus-hyötyarviot'!$H$14&lt;0,1,'kustannus-hyötyarviot'!$H$28-'kustannus-hyötyarviot'!$H$14)</f>
        <v>210000</v>
      </c>
      <c r="U95" s="141" t="e">
        <f>IF(T95=1,-1,IRR($T$2:T95))</f>
        <v>#DIV/0!</v>
      </c>
      <c r="V95" s="142">
        <v>93</v>
      </c>
      <c r="W95" s="139">
        <f>IF('kustannus-hyötyarviot'!$D$30-'kustannus-hyötyarviot'!$H$14&lt;0,1,'kustannus-hyötyarviot'!$D$30-'kustannus-hyötyarviot'!$H$14)</f>
        <v>0</v>
      </c>
      <c r="X95" s="141" t="e">
        <f>IF(W95=1,-1,IRR($W$2:W95))</f>
        <v>#NUM!</v>
      </c>
    </row>
    <row r="96" spans="16:24" x14ac:dyDescent="0.25">
      <c r="P96" s="142">
        <v>94</v>
      </c>
      <c r="Q96" s="139">
        <f>IF('kustannus-hyötyarviot'!$D$26-'kustannus-hyötyarviot'!$H$14&lt;0,1,'kustannus-hyötyarviot'!$D$26-'kustannus-hyötyarviot'!$H$14)</f>
        <v>0</v>
      </c>
      <c r="R96" s="141" t="e">
        <f>IF(Q96=1,-1,IRR(Q$2:$Q96))</f>
        <v>#NUM!</v>
      </c>
      <c r="S96" s="142">
        <v>94</v>
      </c>
      <c r="T96" s="139">
        <f>IF('kustannus-hyötyarviot'!$H$28-'kustannus-hyötyarviot'!$H$14&lt;0,1,'kustannus-hyötyarviot'!$H$28-'kustannus-hyötyarviot'!$H$14)</f>
        <v>210000</v>
      </c>
      <c r="U96" s="141" t="e">
        <f>IF(T96=1,-1,IRR($T$2:T96))</f>
        <v>#DIV/0!</v>
      </c>
      <c r="V96" s="142">
        <v>94</v>
      </c>
      <c r="W96" s="139">
        <f>IF('kustannus-hyötyarviot'!$D$30-'kustannus-hyötyarviot'!$H$14&lt;0,1,'kustannus-hyötyarviot'!$D$30-'kustannus-hyötyarviot'!$H$14)</f>
        <v>0</v>
      </c>
      <c r="X96" s="141" t="e">
        <f>IF(W96=1,-1,IRR($W$2:W96))</f>
        <v>#NUM!</v>
      </c>
    </row>
    <row r="97" spans="16:24" x14ac:dyDescent="0.25">
      <c r="P97" s="142">
        <v>95</v>
      </c>
      <c r="Q97" s="139">
        <f>IF('kustannus-hyötyarviot'!$D$26-'kustannus-hyötyarviot'!$H$14&lt;0,1,'kustannus-hyötyarviot'!$D$26-'kustannus-hyötyarviot'!$H$14)</f>
        <v>0</v>
      </c>
      <c r="R97" s="141" t="e">
        <f>IF(Q97=1,-1,IRR(Q$2:$Q97))</f>
        <v>#NUM!</v>
      </c>
      <c r="S97" s="142">
        <v>95</v>
      </c>
      <c r="T97" s="139">
        <f>IF('kustannus-hyötyarviot'!$H$28-'kustannus-hyötyarviot'!$H$14&lt;0,1,'kustannus-hyötyarviot'!$H$28-'kustannus-hyötyarviot'!$H$14)</f>
        <v>210000</v>
      </c>
      <c r="U97" s="141" t="e">
        <f>IF(T97=1,-1,IRR($T$2:T97))</f>
        <v>#DIV/0!</v>
      </c>
      <c r="V97" s="142">
        <v>95</v>
      </c>
      <c r="W97" s="139">
        <f>IF('kustannus-hyötyarviot'!$D$30-'kustannus-hyötyarviot'!$H$14&lt;0,1,'kustannus-hyötyarviot'!$D$30-'kustannus-hyötyarviot'!$H$14)</f>
        <v>0</v>
      </c>
      <c r="X97" s="141" t="e">
        <f>IF(W97=1,-1,IRR($W$2:W97))</f>
        <v>#NUM!</v>
      </c>
    </row>
    <row r="98" spans="16:24" x14ac:dyDescent="0.25">
      <c r="P98" s="142">
        <v>96</v>
      </c>
      <c r="Q98" s="139">
        <f>IF('kustannus-hyötyarviot'!$D$26-'kustannus-hyötyarviot'!$H$14&lt;0,1,'kustannus-hyötyarviot'!$D$26-'kustannus-hyötyarviot'!$H$14)</f>
        <v>0</v>
      </c>
      <c r="R98" s="141" t="e">
        <f>IF(Q98=1,-1,IRR(Q$2:$Q98))</f>
        <v>#NUM!</v>
      </c>
      <c r="S98" s="142">
        <v>96</v>
      </c>
      <c r="T98" s="139">
        <f>IF('kustannus-hyötyarviot'!$H$28-'kustannus-hyötyarviot'!$H$14&lt;0,1,'kustannus-hyötyarviot'!$H$28-'kustannus-hyötyarviot'!$H$14)</f>
        <v>210000</v>
      </c>
      <c r="U98" s="141" t="e">
        <f>IF(T98=1,-1,IRR($T$2:T98))</f>
        <v>#DIV/0!</v>
      </c>
      <c r="V98" s="142">
        <v>96</v>
      </c>
      <c r="W98" s="139">
        <f>IF('kustannus-hyötyarviot'!$D$30-'kustannus-hyötyarviot'!$H$14&lt;0,1,'kustannus-hyötyarviot'!$D$30-'kustannus-hyötyarviot'!$H$14)</f>
        <v>0</v>
      </c>
      <c r="X98" s="141" t="e">
        <f>IF(W98=1,-1,IRR($W$2:W98))</f>
        <v>#NUM!</v>
      </c>
    </row>
    <row r="99" spans="16:24" x14ac:dyDescent="0.25">
      <c r="P99" s="142">
        <v>97</v>
      </c>
      <c r="Q99" s="139">
        <f>IF('kustannus-hyötyarviot'!$D$26-'kustannus-hyötyarviot'!$H$14&lt;0,1,'kustannus-hyötyarviot'!$D$26-'kustannus-hyötyarviot'!$H$14)</f>
        <v>0</v>
      </c>
      <c r="R99" s="141" t="e">
        <f>IF(Q99=1,-1,IRR(Q$2:$Q99))</f>
        <v>#NUM!</v>
      </c>
      <c r="S99" s="142">
        <v>97</v>
      </c>
      <c r="T99" s="139">
        <f>IF('kustannus-hyötyarviot'!$H$28-'kustannus-hyötyarviot'!$H$14&lt;0,1,'kustannus-hyötyarviot'!$H$28-'kustannus-hyötyarviot'!$H$14)</f>
        <v>210000</v>
      </c>
      <c r="U99" s="141" t="e">
        <f>IF(T99=1,-1,IRR($T$2:T99))</f>
        <v>#DIV/0!</v>
      </c>
      <c r="V99" s="142">
        <v>97</v>
      </c>
      <c r="W99" s="139">
        <f>IF('kustannus-hyötyarviot'!$D$30-'kustannus-hyötyarviot'!$H$14&lt;0,1,'kustannus-hyötyarviot'!$D$30-'kustannus-hyötyarviot'!$H$14)</f>
        <v>0</v>
      </c>
      <c r="X99" s="141" t="e">
        <f>IF(W99=1,-1,IRR($W$2:W99))</f>
        <v>#NUM!</v>
      </c>
    </row>
    <row r="100" spans="16:24" x14ac:dyDescent="0.25">
      <c r="P100" s="142">
        <v>98</v>
      </c>
      <c r="Q100" s="139">
        <f>IF('kustannus-hyötyarviot'!$D$26-'kustannus-hyötyarviot'!$H$14&lt;0,1,'kustannus-hyötyarviot'!$D$26-'kustannus-hyötyarviot'!$H$14)</f>
        <v>0</v>
      </c>
      <c r="R100" s="141" t="e">
        <f>IF(Q100=1,-1,IRR(Q$2:$Q100))</f>
        <v>#NUM!</v>
      </c>
      <c r="S100" s="142">
        <v>98</v>
      </c>
      <c r="T100" s="139">
        <f>IF('kustannus-hyötyarviot'!$H$28-'kustannus-hyötyarviot'!$H$14&lt;0,1,'kustannus-hyötyarviot'!$H$28-'kustannus-hyötyarviot'!$H$14)</f>
        <v>210000</v>
      </c>
      <c r="U100" s="141" t="e">
        <f>IF(T100=1,-1,IRR($T$2:T100))</f>
        <v>#DIV/0!</v>
      </c>
      <c r="V100" s="142">
        <v>98</v>
      </c>
      <c r="W100" s="139">
        <f>IF('kustannus-hyötyarviot'!$D$30-'kustannus-hyötyarviot'!$H$14&lt;0,1,'kustannus-hyötyarviot'!$D$30-'kustannus-hyötyarviot'!$H$14)</f>
        <v>0</v>
      </c>
      <c r="X100" s="141" t="e">
        <f>IF(W100=1,-1,IRR($W$2:W100))</f>
        <v>#NUM!</v>
      </c>
    </row>
    <row r="101" spans="16:24" x14ac:dyDescent="0.25">
      <c r="P101" s="142">
        <v>99</v>
      </c>
      <c r="Q101" s="139">
        <f>IF('kustannus-hyötyarviot'!$D$26-'kustannus-hyötyarviot'!$H$14&lt;0,1,'kustannus-hyötyarviot'!$D$26-'kustannus-hyötyarviot'!$H$14)</f>
        <v>0</v>
      </c>
      <c r="R101" s="141" t="e">
        <f>IF(Q101=1,-1,IRR(Q$2:$Q101))</f>
        <v>#NUM!</v>
      </c>
      <c r="S101" s="142">
        <v>99</v>
      </c>
      <c r="T101" s="139">
        <f>IF('kustannus-hyötyarviot'!$H$28-'kustannus-hyötyarviot'!$H$14&lt;0,1,'kustannus-hyötyarviot'!$H$28-'kustannus-hyötyarviot'!$H$14)</f>
        <v>210000</v>
      </c>
      <c r="U101" s="141" t="e">
        <f>IF(T101=1,-1,IRR($T$2:T101))</f>
        <v>#DIV/0!</v>
      </c>
      <c r="V101" s="142">
        <v>99</v>
      </c>
      <c r="W101" s="139">
        <f>IF('kustannus-hyötyarviot'!$D$30-'kustannus-hyötyarviot'!$H$14&lt;0,1,'kustannus-hyötyarviot'!$D$30-'kustannus-hyötyarviot'!$H$14)</f>
        <v>0</v>
      </c>
      <c r="X101" s="141" t="e">
        <f>IF(W101=1,-1,IRR($W$2:W101))</f>
        <v>#NUM!</v>
      </c>
    </row>
    <row r="102" spans="16:24" x14ac:dyDescent="0.25">
      <c r="P102" s="142">
        <v>100</v>
      </c>
      <c r="Q102" s="139">
        <f>IF('kustannus-hyötyarviot'!$D$26-'kustannus-hyötyarviot'!$H$14&lt;0,1,'kustannus-hyötyarviot'!$D$26-'kustannus-hyötyarviot'!$H$14)</f>
        <v>0</v>
      </c>
      <c r="R102" s="141" t="e">
        <f>IF(Q102=1,-1,IRR(Q$2:$Q102))</f>
        <v>#NUM!</v>
      </c>
      <c r="S102" s="142">
        <v>100</v>
      </c>
      <c r="T102" s="139">
        <f>IF('kustannus-hyötyarviot'!$H$28-'kustannus-hyötyarviot'!$H$14&lt;0,1,'kustannus-hyötyarviot'!$H$28-'kustannus-hyötyarviot'!$H$14)</f>
        <v>210000</v>
      </c>
      <c r="U102" s="141" t="e">
        <f>IF(T102=1,-1,IRR($T$2:T102))</f>
        <v>#DIV/0!</v>
      </c>
      <c r="V102" s="142">
        <v>100</v>
      </c>
      <c r="W102" s="139">
        <f>IF('kustannus-hyötyarviot'!$D$30-'kustannus-hyötyarviot'!$H$14&lt;0,1,'kustannus-hyötyarviot'!$D$30-'kustannus-hyötyarviot'!$H$14)</f>
        <v>0</v>
      </c>
      <c r="X102" s="141" t="e">
        <f>IF(W102=1,-1,IRR($W$2:W102))</f>
        <v>#NUM!</v>
      </c>
    </row>
    <row r="103" spans="16:24" x14ac:dyDescent="0.25">
      <c r="P103" s="142">
        <v>101</v>
      </c>
      <c r="Q103" s="139">
        <f>IF('kustannus-hyötyarviot'!$D$26-'kustannus-hyötyarviot'!$H$14&lt;0,1,'kustannus-hyötyarviot'!$D$26-'kustannus-hyötyarviot'!$H$14)</f>
        <v>0</v>
      </c>
      <c r="R103" s="141" t="e">
        <f>IF(Q103=1,-1,IRR(Q$2:$Q103))</f>
        <v>#NUM!</v>
      </c>
      <c r="S103" s="142">
        <v>101</v>
      </c>
      <c r="T103" s="139">
        <f>IF('kustannus-hyötyarviot'!$H$28-'kustannus-hyötyarviot'!$H$14&lt;0,1,'kustannus-hyötyarviot'!$H$28-'kustannus-hyötyarviot'!$H$14)</f>
        <v>210000</v>
      </c>
      <c r="U103" s="141" t="e">
        <f>IF(T103=1,-1,IRR($T$2:T103))</f>
        <v>#DIV/0!</v>
      </c>
      <c r="V103" s="142">
        <v>101</v>
      </c>
      <c r="W103" s="139">
        <f>IF('kustannus-hyötyarviot'!$D$30-'kustannus-hyötyarviot'!$H$14&lt;0,1,'kustannus-hyötyarviot'!$D$30-'kustannus-hyötyarviot'!$H$14)</f>
        <v>0</v>
      </c>
      <c r="X103" s="141" t="e">
        <f>IF(W103=1,-1,IRR($W$2:W103))</f>
        <v>#NUM!</v>
      </c>
    </row>
    <row r="104" spans="16:24" x14ac:dyDescent="0.25">
      <c r="P104" s="142">
        <v>102</v>
      </c>
      <c r="Q104" s="139">
        <f>IF('kustannus-hyötyarviot'!$D$26-'kustannus-hyötyarviot'!$H$14&lt;0,1,'kustannus-hyötyarviot'!$D$26-'kustannus-hyötyarviot'!$H$14)</f>
        <v>0</v>
      </c>
      <c r="R104" s="141" t="e">
        <f>IF(Q104=1,-1,IRR(Q$2:$Q104))</f>
        <v>#NUM!</v>
      </c>
      <c r="S104" s="142">
        <v>102</v>
      </c>
      <c r="T104" s="139">
        <f>IF('kustannus-hyötyarviot'!$H$28-'kustannus-hyötyarviot'!$H$14&lt;0,1,'kustannus-hyötyarviot'!$H$28-'kustannus-hyötyarviot'!$H$14)</f>
        <v>210000</v>
      </c>
      <c r="U104" s="141" t="e">
        <f>IF(T104=1,-1,IRR($T$2:T104))</f>
        <v>#DIV/0!</v>
      </c>
      <c r="V104" s="142">
        <v>102</v>
      </c>
      <c r="W104" s="139">
        <f>IF('kustannus-hyötyarviot'!$D$30-'kustannus-hyötyarviot'!$H$14&lt;0,1,'kustannus-hyötyarviot'!$D$30-'kustannus-hyötyarviot'!$H$14)</f>
        <v>0</v>
      </c>
      <c r="X104" s="141" t="e">
        <f>IF(W104=1,-1,IRR($W$2:W104))</f>
        <v>#NUM!</v>
      </c>
    </row>
    <row r="105" spans="16:24" x14ac:dyDescent="0.25">
      <c r="P105" s="142">
        <v>103</v>
      </c>
      <c r="Q105" s="139">
        <f>IF('kustannus-hyötyarviot'!$D$26-'kustannus-hyötyarviot'!$H$14&lt;0,1,'kustannus-hyötyarviot'!$D$26-'kustannus-hyötyarviot'!$H$14)</f>
        <v>0</v>
      </c>
      <c r="R105" s="141" t="e">
        <f>IF(Q105=1,-1,IRR(Q$2:$Q105))</f>
        <v>#NUM!</v>
      </c>
      <c r="S105" s="142">
        <v>103</v>
      </c>
      <c r="T105" s="139">
        <f>IF('kustannus-hyötyarviot'!$H$28-'kustannus-hyötyarviot'!$H$14&lt;0,1,'kustannus-hyötyarviot'!$H$28-'kustannus-hyötyarviot'!$H$14)</f>
        <v>210000</v>
      </c>
      <c r="U105" s="141" t="e">
        <f>IF(T105=1,-1,IRR($T$2:T105))</f>
        <v>#DIV/0!</v>
      </c>
      <c r="V105" s="142">
        <v>103</v>
      </c>
      <c r="W105" s="139">
        <f>IF('kustannus-hyötyarviot'!$D$30-'kustannus-hyötyarviot'!$H$14&lt;0,1,'kustannus-hyötyarviot'!$D$30-'kustannus-hyötyarviot'!$H$14)</f>
        <v>0</v>
      </c>
      <c r="X105" s="141" t="e">
        <f>IF(W105=1,-1,IRR($W$2:W105))</f>
        <v>#NUM!</v>
      </c>
    </row>
    <row r="106" spans="16:24" x14ac:dyDescent="0.25">
      <c r="P106" s="142">
        <v>104</v>
      </c>
      <c r="Q106" s="139">
        <f>IF('kustannus-hyötyarviot'!$D$26-'kustannus-hyötyarviot'!$H$14&lt;0,1,'kustannus-hyötyarviot'!$D$26-'kustannus-hyötyarviot'!$H$14)</f>
        <v>0</v>
      </c>
      <c r="R106" s="141" t="e">
        <f>IF(Q106=1,-1,IRR(Q$2:$Q106))</f>
        <v>#NUM!</v>
      </c>
      <c r="S106" s="142">
        <v>104</v>
      </c>
      <c r="T106" s="139">
        <f>IF('kustannus-hyötyarviot'!$H$28-'kustannus-hyötyarviot'!$H$14&lt;0,1,'kustannus-hyötyarviot'!$H$28-'kustannus-hyötyarviot'!$H$14)</f>
        <v>210000</v>
      </c>
      <c r="U106" s="141" t="e">
        <f>IF(T106=1,-1,IRR($T$2:T106))</f>
        <v>#DIV/0!</v>
      </c>
      <c r="V106" s="142">
        <v>104</v>
      </c>
      <c r="W106" s="139">
        <f>IF('kustannus-hyötyarviot'!$D$30-'kustannus-hyötyarviot'!$H$14&lt;0,1,'kustannus-hyötyarviot'!$D$30-'kustannus-hyötyarviot'!$H$14)</f>
        <v>0</v>
      </c>
      <c r="X106" s="141" t="e">
        <f>IF(W106=1,-1,IRR($W$2:W106))</f>
        <v>#NUM!</v>
      </c>
    </row>
    <row r="107" spans="16:24" x14ac:dyDescent="0.25">
      <c r="P107" s="142">
        <v>105</v>
      </c>
      <c r="Q107" s="139">
        <f>IF('kustannus-hyötyarviot'!$D$26-'kustannus-hyötyarviot'!$H$14&lt;0,1,'kustannus-hyötyarviot'!$D$26-'kustannus-hyötyarviot'!$H$14)</f>
        <v>0</v>
      </c>
      <c r="R107" s="141" t="e">
        <f>IF(Q107=1,-1,IRR(Q$2:$Q107))</f>
        <v>#NUM!</v>
      </c>
      <c r="S107" s="142">
        <v>105</v>
      </c>
      <c r="T107" s="139">
        <f>IF('kustannus-hyötyarviot'!$H$28-'kustannus-hyötyarviot'!$H$14&lt;0,1,'kustannus-hyötyarviot'!$H$28-'kustannus-hyötyarviot'!$H$14)</f>
        <v>210000</v>
      </c>
      <c r="U107" s="141" t="e">
        <f>IF(T107=1,-1,IRR($T$2:T107))</f>
        <v>#DIV/0!</v>
      </c>
      <c r="V107" s="142">
        <v>105</v>
      </c>
      <c r="W107" s="139">
        <f>IF('kustannus-hyötyarviot'!$D$30-'kustannus-hyötyarviot'!$H$14&lt;0,1,'kustannus-hyötyarviot'!$D$30-'kustannus-hyötyarviot'!$H$14)</f>
        <v>0</v>
      </c>
      <c r="X107" s="141" t="e">
        <f>IF(W107=1,-1,IRR($W$2:W107))</f>
        <v>#NUM!</v>
      </c>
    </row>
    <row r="108" spans="16:24" x14ac:dyDescent="0.25">
      <c r="P108" s="142">
        <v>106</v>
      </c>
      <c r="Q108" s="139">
        <f>IF('kustannus-hyötyarviot'!$D$26-'kustannus-hyötyarviot'!$H$14&lt;0,1,'kustannus-hyötyarviot'!$D$26-'kustannus-hyötyarviot'!$H$14)</f>
        <v>0</v>
      </c>
      <c r="R108" s="141" t="e">
        <f>IF(Q108=1,-1,IRR(Q$2:$Q108))</f>
        <v>#NUM!</v>
      </c>
      <c r="S108" s="142">
        <v>106</v>
      </c>
      <c r="T108" s="139">
        <f>IF('kustannus-hyötyarviot'!$H$28-'kustannus-hyötyarviot'!$H$14&lt;0,1,'kustannus-hyötyarviot'!$H$28-'kustannus-hyötyarviot'!$H$14)</f>
        <v>210000</v>
      </c>
      <c r="U108" s="141" t="e">
        <f>IF(T108=1,-1,IRR($T$2:T108))</f>
        <v>#DIV/0!</v>
      </c>
      <c r="V108" s="142">
        <v>106</v>
      </c>
      <c r="W108" s="139">
        <f>IF('kustannus-hyötyarviot'!$D$30-'kustannus-hyötyarviot'!$H$14&lt;0,1,'kustannus-hyötyarviot'!$D$30-'kustannus-hyötyarviot'!$H$14)</f>
        <v>0</v>
      </c>
      <c r="X108" s="141" t="e">
        <f>IF(W108=1,-1,IRR($W$2:W108))</f>
        <v>#NUM!</v>
      </c>
    </row>
    <row r="109" spans="16:24" x14ac:dyDescent="0.25">
      <c r="P109" s="142">
        <v>107</v>
      </c>
      <c r="Q109" s="139">
        <f>IF('kustannus-hyötyarviot'!$D$26-'kustannus-hyötyarviot'!$H$14&lt;0,1,'kustannus-hyötyarviot'!$D$26-'kustannus-hyötyarviot'!$H$14)</f>
        <v>0</v>
      </c>
      <c r="R109" s="141" t="e">
        <f>IF(Q109=1,-1,IRR(Q$2:$Q109))</f>
        <v>#NUM!</v>
      </c>
      <c r="S109" s="142">
        <v>107</v>
      </c>
      <c r="T109" s="139">
        <f>IF('kustannus-hyötyarviot'!$H$28-'kustannus-hyötyarviot'!$H$14&lt;0,1,'kustannus-hyötyarviot'!$H$28-'kustannus-hyötyarviot'!$H$14)</f>
        <v>210000</v>
      </c>
      <c r="U109" s="141" t="e">
        <f>IF(T109=1,-1,IRR($T$2:T109))</f>
        <v>#DIV/0!</v>
      </c>
      <c r="V109" s="142">
        <v>107</v>
      </c>
      <c r="W109" s="139">
        <f>IF('kustannus-hyötyarviot'!$D$30-'kustannus-hyötyarviot'!$H$14&lt;0,1,'kustannus-hyötyarviot'!$D$30-'kustannus-hyötyarviot'!$H$14)</f>
        <v>0</v>
      </c>
      <c r="X109" s="141" t="e">
        <f>IF(W109=1,-1,IRR($W$2:W109))</f>
        <v>#NUM!</v>
      </c>
    </row>
    <row r="110" spans="16:24" x14ac:dyDescent="0.25">
      <c r="P110" s="142">
        <v>108</v>
      </c>
      <c r="Q110" s="139">
        <f>IF('kustannus-hyötyarviot'!$D$26-'kustannus-hyötyarviot'!$H$14&lt;0,1,'kustannus-hyötyarviot'!$D$26-'kustannus-hyötyarviot'!$H$14)</f>
        <v>0</v>
      </c>
      <c r="R110" s="141" t="e">
        <f>IF(Q110=1,-1,IRR(Q$2:$Q110))</f>
        <v>#NUM!</v>
      </c>
      <c r="S110" s="142">
        <v>108</v>
      </c>
      <c r="T110" s="139">
        <f>IF('kustannus-hyötyarviot'!$H$28-'kustannus-hyötyarviot'!$H$14&lt;0,1,'kustannus-hyötyarviot'!$H$28-'kustannus-hyötyarviot'!$H$14)</f>
        <v>210000</v>
      </c>
      <c r="U110" s="141" t="e">
        <f>IF(T110=1,-1,IRR($T$2:T110))</f>
        <v>#DIV/0!</v>
      </c>
      <c r="V110" s="142">
        <v>108</v>
      </c>
      <c r="W110" s="139">
        <f>IF('kustannus-hyötyarviot'!$D$30-'kustannus-hyötyarviot'!$H$14&lt;0,1,'kustannus-hyötyarviot'!$D$30-'kustannus-hyötyarviot'!$H$14)</f>
        <v>0</v>
      </c>
      <c r="X110" s="141" t="e">
        <f>IF(W110=1,-1,IRR($W$2:W110))</f>
        <v>#NUM!</v>
      </c>
    </row>
    <row r="111" spans="16:24" x14ac:dyDescent="0.25">
      <c r="P111" s="142">
        <v>109</v>
      </c>
      <c r="Q111" s="139">
        <f>IF('kustannus-hyötyarviot'!$D$26-'kustannus-hyötyarviot'!$H$14&lt;0,1,'kustannus-hyötyarviot'!$D$26-'kustannus-hyötyarviot'!$H$14)</f>
        <v>0</v>
      </c>
      <c r="R111" s="141" t="e">
        <f>IF(Q111=1,-1,IRR(Q$2:$Q111))</f>
        <v>#NUM!</v>
      </c>
      <c r="S111" s="142">
        <v>109</v>
      </c>
      <c r="T111" s="139">
        <f>IF('kustannus-hyötyarviot'!$H$28-'kustannus-hyötyarviot'!$H$14&lt;0,1,'kustannus-hyötyarviot'!$H$28-'kustannus-hyötyarviot'!$H$14)</f>
        <v>210000</v>
      </c>
      <c r="U111" s="141" t="e">
        <f>IF(T111=1,-1,IRR($T$2:T111))</f>
        <v>#DIV/0!</v>
      </c>
      <c r="V111" s="142">
        <v>109</v>
      </c>
      <c r="W111" s="139">
        <f>IF('kustannus-hyötyarviot'!$D$30-'kustannus-hyötyarviot'!$H$14&lt;0,1,'kustannus-hyötyarviot'!$D$30-'kustannus-hyötyarviot'!$H$14)</f>
        <v>0</v>
      </c>
      <c r="X111" s="141" t="e">
        <f>IF(W111=1,-1,IRR($W$2:W111))</f>
        <v>#NUM!</v>
      </c>
    </row>
    <row r="112" spans="16:24" x14ac:dyDescent="0.25">
      <c r="P112" s="142">
        <v>110</v>
      </c>
      <c r="Q112" s="139">
        <f>IF('kustannus-hyötyarviot'!$D$26-'kustannus-hyötyarviot'!$H$14&lt;0,1,'kustannus-hyötyarviot'!$D$26-'kustannus-hyötyarviot'!$H$14)</f>
        <v>0</v>
      </c>
      <c r="R112" s="141" t="e">
        <f>IF(Q112=1,-1,IRR(Q$2:$Q112))</f>
        <v>#NUM!</v>
      </c>
      <c r="S112" s="142">
        <v>110</v>
      </c>
      <c r="T112" s="139">
        <f>IF('kustannus-hyötyarviot'!$H$28-'kustannus-hyötyarviot'!$H$14&lt;0,1,'kustannus-hyötyarviot'!$H$28-'kustannus-hyötyarviot'!$H$14)</f>
        <v>210000</v>
      </c>
      <c r="U112" s="141" t="e">
        <f>IF(T112=1,-1,IRR($T$2:T112))</f>
        <v>#DIV/0!</v>
      </c>
      <c r="V112" s="142">
        <v>110</v>
      </c>
      <c r="W112" s="139">
        <f>IF('kustannus-hyötyarviot'!$D$30-'kustannus-hyötyarviot'!$H$14&lt;0,1,'kustannus-hyötyarviot'!$D$30-'kustannus-hyötyarviot'!$H$14)</f>
        <v>0</v>
      </c>
      <c r="X112" s="141" t="e">
        <f>IF(W112=1,-1,IRR($W$2:W112))</f>
        <v>#NUM!</v>
      </c>
    </row>
    <row r="113" spans="16:24" x14ac:dyDescent="0.25">
      <c r="P113" s="142">
        <v>111</v>
      </c>
      <c r="Q113" s="139">
        <f>IF('kustannus-hyötyarviot'!$D$26-'kustannus-hyötyarviot'!$H$14&lt;0,1,'kustannus-hyötyarviot'!$D$26-'kustannus-hyötyarviot'!$H$14)</f>
        <v>0</v>
      </c>
      <c r="R113" s="141" t="e">
        <f>IF(Q113=1,-1,IRR(Q$2:$Q113))</f>
        <v>#NUM!</v>
      </c>
      <c r="S113" s="142">
        <v>111</v>
      </c>
      <c r="T113" s="139">
        <f>IF('kustannus-hyötyarviot'!$H$28-'kustannus-hyötyarviot'!$H$14&lt;0,1,'kustannus-hyötyarviot'!$H$28-'kustannus-hyötyarviot'!$H$14)</f>
        <v>210000</v>
      </c>
      <c r="U113" s="141" t="e">
        <f>IF(T113=1,-1,IRR($T$2:T113))</f>
        <v>#DIV/0!</v>
      </c>
      <c r="V113" s="142">
        <v>111</v>
      </c>
      <c r="W113" s="139">
        <f>IF('kustannus-hyötyarviot'!$D$30-'kustannus-hyötyarviot'!$H$14&lt;0,1,'kustannus-hyötyarviot'!$D$30-'kustannus-hyötyarviot'!$H$14)</f>
        <v>0</v>
      </c>
      <c r="X113" s="141" t="e">
        <f>IF(W113=1,-1,IRR($W$2:W113))</f>
        <v>#NUM!</v>
      </c>
    </row>
    <row r="114" spans="16:24" x14ac:dyDescent="0.25">
      <c r="P114" s="142">
        <v>112</v>
      </c>
      <c r="Q114" s="139">
        <f>IF('kustannus-hyötyarviot'!$D$26-'kustannus-hyötyarviot'!$H$14&lt;0,1,'kustannus-hyötyarviot'!$D$26-'kustannus-hyötyarviot'!$H$14)</f>
        <v>0</v>
      </c>
      <c r="R114" s="141" t="e">
        <f>IF(Q114=1,-1,IRR(Q$2:$Q114))</f>
        <v>#NUM!</v>
      </c>
      <c r="S114" s="142">
        <v>112</v>
      </c>
      <c r="T114" s="139">
        <f>IF('kustannus-hyötyarviot'!$H$28-'kustannus-hyötyarviot'!$H$14&lt;0,1,'kustannus-hyötyarviot'!$H$28-'kustannus-hyötyarviot'!$H$14)</f>
        <v>210000</v>
      </c>
      <c r="U114" s="141" t="e">
        <f>IF(T114=1,-1,IRR($T$2:T114))</f>
        <v>#DIV/0!</v>
      </c>
      <c r="V114" s="142">
        <v>112</v>
      </c>
      <c r="W114" s="139">
        <f>IF('kustannus-hyötyarviot'!$D$30-'kustannus-hyötyarviot'!$H$14&lt;0,1,'kustannus-hyötyarviot'!$D$30-'kustannus-hyötyarviot'!$H$14)</f>
        <v>0</v>
      </c>
      <c r="X114" s="141" t="e">
        <f>IF(W114=1,-1,IRR($W$2:W114))</f>
        <v>#NUM!</v>
      </c>
    </row>
    <row r="115" spans="16:24" x14ac:dyDescent="0.25">
      <c r="P115" s="142">
        <v>113</v>
      </c>
      <c r="Q115" s="139">
        <f>IF('kustannus-hyötyarviot'!$D$26-'kustannus-hyötyarviot'!$H$14&lt;0,1,'kustannus-hyötyarviot'!$D$26-'kustannus-hyötyarviot'!$H$14)</f>
        <v>0</v>
      </c>
      <c r="R115" s="141" t="e">
        <f>IF(Q115=1,-1,IRR(Q$2:$Q115))</f>
        <v>#NUM!</v>
      </c>
      <c r="S115" s="142">
        <v>113</v>
      </c>
      <c r="T115" s="139">
        <f>IF('kustannus-hyötyarviot'!$H$28-'kustannus-hyötyarviot'!$H$14&lt;0,1,'kustannus-hyötyarviot'!$H$28-'kustannus-hyötyarviot'!$H$14)</f>
        <v>210000</v>
      </c>
      <c r="U115" s="141" t="e">
        <f>IF(T115=1,-1,IRR($T$2:T115))</f>
        <v>#DIV/0!</v>
      </c>
      <c r="V115" s="142">
        <v>113</v>
      </c>
      <c r="W115" s="139">
        <f>IF('kustannus-hyötyarviot'!$D$30-'kustannus-hyötyarviot'!$H$14&lt;0,1,'kustannus-hyötyarviot'!$D$30-'kustannus-hyötyarviot'!$H$14)</f>
        <v>0</v>
      </c>
      <c r="X115" s="141" t="e">
        <f>IF(W115=1,-1,IRR($W$2:W115))</f>
        <v>#NUM!</v>
      </c>
    </row>
    <row r="116" spans="16:24" x14ac:dyDescent="0.25">
      <c r="P116" s="142">
        <v>114</v>
      </c>
      <c r="Q116" s="139">
        <f>IF('kustannus-hyötyarviot'!$D$26-'kustannus-hyötyarviot'!$H$14&lt;0,1,'kustannus-hyötyarviot'!$D$26-'kustannus-hyötyarviot'!$H$14)</f>
        <v>0</v>
      </c>
      <c r="R116" s="141" t="e">
        <f>IF(Q116=1,-1,IRR(Q$2:$Q116))</f>
        <v>#NUM!</v>
      </c>
      <c r="S116" s="142">
        <v>114</v>
      </c>
      <c r="T116" s="139">
        <f>IF('kustannus-hyötyarviot'!$H$28-'kustannus-hyötyarviot'!$H$14&lt;0,1,'kustannus-hyötyarviot'!$H$28-'kustannus-hyötyarviot'!$H$14)</f>
        <v>210000</v>
      </c>
      <c r="U116" s="141" t="e">
        <f>IF(T116=1,-1,IRR($T$2:T116))</f>
        <v>#DIV/0!</v>
      </c>
      <c r="V116" s="142">
        <v>114</v>
      </c>
      <c r="W116" s="139">
        <f>IF('kustannus-hyötyarviot'!$D$30-'kustannus-hyötyarviot'!$H$14&lt;0,1,'kustannus-hyötyarviot'!$D$30-'kustannus-hyötyarviot'!$H$14)</f>
        <v>0</v>
      </c>
      <c r="X116" s="141" t="e">
        <f>IF(W116=1,-1,IRR($W$2:W116))</f>
        <v>#NUM!</v>
      </c>
    </row>
    <row r="117" spans="16:24" x14ac:dyDescent="0.25">
      <c r="P117" s="142">
        <v>115</v>
      </c>
      <c r="Q117" s="139">
        <f>IF('kustannus-hyötyarviot'!$D$26-'kustannus-hyötyarviot'!$H$14&lt;0,1,'kustannus-hyötyarviot'!$D$26-'kustannus-hyötyarviot'!$H$14)</f>
        <v>0</v>
      </c>
      <c r="R117" s="141" t="e">
        <f>IF(Q117=1,-1,IRR(Q$2:$Q117))</f>
        <v>#NUM!</v>
      </c>
      <c r="S117" s="142">
        <v>115</v>
      </c>
      <c r="T117" s="139">
        <f>IF('kustannus-hyötyarviot'!$H$28-'kustannus-hyötyarviot'!$H$14&lt;0,1,'kustannus-hyötyarviot'!$H$28-'kustannus-hyötyarviot'!$H$14)</f>
        <v>210000</v>
      </c>
      <c r="U117" s="141" t="e">
        <f>IF(T117=1,-1,IRR($T$2:T117))</f>
        <v>#DIV/0!</v>
      </c>
      <c r="V117" s="142">
        <v>115</v>
      </c>
      <c r="W117" s="139">
        <f>IF('kustannus-hyötyarviot'!$D$30-'kustannus-hyötyarviot'!$H$14&lt;0,1,'kustannus-hyötyarviot'!$D$30-'kustannus-hyötyarviot'!$H$14)</f>
        <v>0</v>
      </c>
      <c r="X117" s="141" t="e">
        <f>IF(W117=1,-1,IRR($W$2:W117))</f>
        <v>#NUM!</v>
      </c>
    </row>
    <row r="118" spans="16:24" x14ac:dyDescent="0.25">
      <c r="P118" s="142">
        <v>116</v>
      </c>
      <c r="Q118" s="139">
        <f>IF('kustannus-hyötyarviot'!$D$26-'kustannus-hyötyarviot'!$H$14&lt;0,1,'kustannus-hyötyarviot'!$D$26-'kustannus-hyötyarviot'!$H$14)</f>
        <v>0</v>
      </c>
      <c r="R118" s="141" t="e">
        <f>IF(Q118=1,-1,IRR(Q$2:$Q118))</f>
        <v>#NUM!</v>
      </c>
      <c r="S118" s="142">
        <v>116</v>
      </c>
      <c r="T118" s="139">
        <f>IF('kustannus-hyötyarviot'!$H$28-'kustannus-hyötyarviot'!$H$14&lt;0,1,'kustannus-hyötyarviot'!$H$28-'kustannus-hyötyarviot'!$H$14)</f>
        <v>210000</v>
      </c>
      <c r="U118" s="141" t="e">
        <f>IF(T118=1,-1,IRR($T$2:T118))</f>
        <v>#DIV/0!</v>
      </c>
      <c r="V118" s="142">
        <v>116</v>
      </c>
      <c r="W118" s="139">
        <f>IF('kustannus-hyötyarviot'!$D$30-'kustannus-hyötyarviot'!$H$14&lt;0,1,'kustannus-hyötyarviot'!$D$30-'kustannus-hyötyarviot'!$H$14)</f>
        <v>0</v>
      </c>
      <c r="X118" s="141" t="e">
        <f>IF(W118=1,-1,IRR($W$2:W118))</f>
        <v>#NUM!</v>
      </c>
    </row>
    <row r="119" spans="16:24" x14ac:dyDescent="0.25">
      <c r="P119" s="142">
        <v>117</v>
      </c>
      <c r="Q119" s="139">
        <f>IF('kustannus-hyötyarviot'!$D$26-'kustannus-hyötyarviot'!$H$14&lt;0,1,'kustannus-hyötyarviot'!$D$26-'kustannus-hyötyarviot'!$H$14)</f>
        <v>0</v>
      </c>
      <c r="R119" s="141" t="e">
        <f>IF(Q119=1,-1,IRR(Q$2:$Q119))</f>
        <v>#NUM!</v>
      </c>
      <c r="S119" s="142">
        <v>117</v>
      </c>
      <c r="T119" s="139">
        <f>IF('kustannus-hyötyarviot'!$H$28-'kustannus-hyötyarviot'!$H$14&lt;0,1,'kustannus-hyötyarviot'!$H$28-'kustannus-hyötyarviot'!$H$14)</f>
        <v>210000</v>
      </c>
      <c r="U119" s="141" t="e">
        <f>IF(T119=1,-1,IRR($T$2:T119))</f>
        <v>#DIV/0!</v>
      </c>
      <c r="V119" s="142">
        <v>117</v>
      </c>
      <c r="W119" s="139">
        <f>IF('kustannus-hyötyarviot'!$D$30-'kustannus-hyötyarviot'!$H$14&lt;0,1,'kustannus-hyötyarviot'!$D$30-'kustannus-hyötyarviot'!$H$14)</f>
        <v>0</v>
      </c>
      <c r="X119" s="141" t="e">
        <f>IF(W119=1,-1,IRR($W$2:W119))</f>
        <v>#NUM!</v>
      </c>
    </row>
    <row r="120" spans="16:24" x14ac:dyDescent="0.25">
      <c r="P120" s="142">
        <v>118</v>
      </c>
      <c r="Q120" s="139">
        <f>IF('kustannus-hyötyarviot'!$D$26-'kustannus-hyötyarviot'!$H$14&lt;0,1,'kustannus-hyötyarviot'!$D$26-'kustannus-hyötyarviot'!$H$14)</f>
        <v>0</v>
      </c>
      <c r="R120" s="141" t="e">
        <f>IF(Q120=1,-1,IRR(Q$2:$Q120))</f>
        <v>#NUM!</v>
      </c>
      <c r="S120" s="142">
        <v>118</v>
      </c>
      <c r="T120" s="139">
        <f>IF('kustannus-hyötyarviot'!$H$28-'kustannus-hyötyarviot'!$H$14&lt;0,1,'kustannus-hyötyarviot'!$H$28-'kustannus-hyötyarviot'!$H$14)</f>
        <v>210000</v>
      </c>
      <c r="U120" s="141" t="e">
        <f>IF(T120=1,-1,IRR($T$2:T120))</f>
        <v>#DIV/0!</v>
      </c>
      <c r="V120" s="142">
        <v>118</v>
      </c>
      <c r="W120" s="139">
        <f>IF('kustannus-hyötyarviot'!$D$30-'kustannus-hyötyarviot'!$H$14&lt;0,1,'kustannus-hyötyarviot'!$D$30-'kustannus-hyötyarviot'!$H$14)</f>
        <v>0</v>
      </c>
      <c r="X120" s="141" t="e">
        <f>IF(W120=1,-1,IRR($W$2:W120))</f>
        <v>#NUM!</v>
      </c>
    </row>
    <row r="121" spans="16:24" x14ac:dyDescent="0.25">
      <c r="P121" s="142">
        <v>119</v>
      </c>
      <c r="Q121" s="139">
        <f>IF('kustannus-hyötyarviot'!$D$26-'kustannus-hyötyarviot'!$H$14&lt;0,1,'kustannus-hyötyarviot'!$D$26-'kustannus-hyötyarviot'!$H$14)</f>
        <v>0</v>
      </c>
      <c r="R121" s="141" t="e">
        <f>IF(Q121=1,-1,IRR(Q$2:$Q121))</f>
        <v>#NUM!</v>
      </c>
      <c r="S121" s="142">
        <v>119</v>
      </c>
      <c r="T121" s="139">
        <f>IF('kustannus-hyötyarviot'!$H$28-'kustannus-hyötyarviot'!$H$14&lt;0,1,'kustannus-hyötyarviot'!$H$28-'kustannus-hyötyarviot'!$H$14)</f>
        <v>210000</v>
      </c>
      <c r="U121" s="141" t="e">
        <f>IF(T121=1,-1,IRR($T$2:T121))</f>
        <v>#DIV/0!</v>
      </c>
      <c r="V121" s="142">
        <v>119</v>
      </c>
      <c r="W121" s="139">
        <f>IF('kustannus-hyötyarviot'!$D$30-'kustannus-hyötyarviot'!$H$14&lt;0,1,'kustannus-hyötyarviot'!$D$30-'kustannus-hyötyarviot'!$H$14)</f>
        <v>0</v>
      </c>
      <c r="X121" s="141" t="e">
        <f>IF(W121=1,-1,IRR($W$2:W121))</f>
        <v>#NUM!</v>
      </c>
    </row>
    <row r="122" spans="16:24" x14ac:dyDescent="0.25">
      <c r="P122" s="142">
        <v>120</v>
      </c>
      <c r="Q122" s="139">
        <f>IF('kustannus-hyötyarviot'!$D$26-'kustannus-hyötyarviot'!$H$14&lt;0,1,'kustannus-hyötyarviot'!$D$26-'kustannus-hyötyarviot'!$H$14)</f>
        <v>0</v>
      </c>
      <c r="R122" s="141" t="e">
        <f>IF(Q122=1,-1,IRR(Q$2:$Q122))</f>
        <v>#NUM!</v>
      </c>
      <c r="S122" s="142">
        <v>120</v>
      </c>
      <c r="T122" s="139">
        <f>IF('kustannus-hyötyarviot'!$H$28-'kustannus-hyötyarviot'!$H$14&lt;0,1,'kustannus-hyötyarviot'!$H$28-'kustannus-hyötyarviot'!$H$14)</f>
        <v>210000</v>
      </c>
      <c r="U122" s="141" t="e">
        <f>IF(T122=1,-1,IRR($T$2:T122))</f>
        <v>#DIV/0!</v>
      </c>
      <c r="V122" s="142">
        <v>120</v>
      </c>
      <c r="W122" s="139">
        <f>IF('kustannus-hyötyarviot'!$D$30-'kustannus-hyötyarviot'!$H$14&lt;0,1,'kustannus-hyötyarviot'!$D$30-'kustannus-hyötyarviot'!$H$14)</f>
        <v>0</v>
      </c>
      <c r="X122" s="141" t="e">
        <f>IF(W122=1,-1,IRR($W$2:W122))</f>
        <v>#NUM!</v>
      </c>
    </row>
    <row r="123" spans="16:24" x14ac:dyDescent="0.25">
      <c r="P123" s="142">
        <v>121</v>
      </c>
      <c r="Q123" s="139">
        <f>IF('kustannus-hyötyarviot'!$D$26-'kustannus-hyötyarviot'!$H$14&lt;0,1,'kustannus-hyötyarviot'!$D$26-'kustannus-hyötyarviot'!$H$14)</f>
        <v>0</v>
      </c>
      <c r="R123" s="141" t="e">
        <f>IF(Q123=1,-1,IRR(Q$2:$Q123))</f>
        <v>#NUM!</v>
      </c>
      <c r="S123" s="142">
        <v>121</v>
      </c>
      <c r="T123" s="139">
        <f>IF('kustannus-hyötyarviot'!$H$28-'kustannus-hyötyarviot'!$H$14&lt;0,1,'kustannus-hyötyarviot'!$H$28-'kustannus-hyötyarviot'!$H$14)</f>
        <v>210000</v>
      </c>
      <c r="U123" s="141" t="e">
        <f>IF(T123=1,-1,IRR($T$2:T123))</f>
        <v>#DIV/0!</v>
      </c>
      <c r="V123" s="142">
        <v>121</v>
      </c>
      <c r="W123" s="139">
        <f>IF('kustannus-hyötyarviot'!$D$30-'kustannus-hyötyarviot'!$H$14&lt;0,1,'kustannus-hyötyarviot'!$D$30-'kustannus-hyötyarviot'!$H$14)</f>
        <v>0</v>
      </c>
      <c r="X123" s="141" t="e">
        <f>IF(W123=1,-1,IRR($W$2:W123))</f>
        <v>#NUM!</v>
      </c>
    </row>
    <row r="124" spans="16:24" x14ac:dyDescent="0.25">
      <c r="P124" s="142">
        <v>122</v>
      </c>
      <c r="Q124" s="139">
        <f>IF('kustannus-hyötyarviot'!$D$26-'kustannus-hyötyarviot'!$H$14&lt;0,1,'kustannus-hyötyarviot'!$D$26-'kustannus-hyötyarviot'!$H$14)</f>
        <v>0</v>
      </c>
      <c r="R124" s="141" t="e">
        <f>IF(Q124=1,-1,IRR(Q$2:$Q124))</f>
        <v>#NUM!</v>
      </c>
      <c r="S124" s="142">
        <v>122</v>
      </c>
      <c r="T124" s="139">
        <f>IF('kustannus-hyötyarviot'!$H$28-'kustannus-hyötyarviot'!$H$14&lt;0,1,'kustannus-hyötyarviot'!$H$28-'kustannus-hyötyarviot'!$H$14)</f>
        <v>210000</v>
      </c>
      <c r="U124" s="141" t="e">
        <f>IF(T124=1,-1,IRR($T$2:T124))</f>
        <v>#DIV/0!</v>
      </c>
      <c r="V124" s="142">
        <v>122</v>
      </c>
      <c r="W124" s="139">
        <f>IF('kustannus-hyötyarviot'!$D$30-'kustannus-hyötyarviot'!$H$14&lt;0,1,'kustannus-hyötyarviot'!$D$30-'kustannus-hyötyarviot'!$H$14)</f>
        <v>0</v>
      </c>
      <c r="X124" s="141" t="e">
        <f>IF(W124=1,-1,IRR($W$2:W124))</f>
        <v>#NUM!</v>
      </c>
    </row>
    <row r="125" spans="16:24" x14ac:dyDescent="0.25">
      <c r="P125" s="142">
        <v>123</v>
      </c>
      <c r="Q125" s="139">
        <f>IF('kustannus-hyötyarviot'!$D$26-'kustannus-hyötyarviot'!$H$14&lt;0,1,'kustannus-hyötyarviot'!$D$26-'kustannus-hyötyarviot'!$H$14)</f>
        <v>0</v>
      </c>
      <c r="R125" s="141" t="e">
        <f>IF(Q125=1,-1,IRR(Q$2:$Q125))</f>
        <v>#NUM!</v>
      </c>
      <c r="S125" s="142">
        <v>123</v>
      </c>
      <c r="T125" s="139">
        <f>IF('kustannus-hyötyarviot'!$H$28-'kustannus-hyötyarviot'!$H$14&lt;0,1,'kustannus-hyötyarviot'!$H$28-'kustannus-hyötyarviot'!$H$14)</f>
        <v>210000</v>
      </c>
      <c r="U125" s="141" t="e">
        <f>IF(T125=1,-1,IRR($T$2:T125))</f>
        <v>#DIV/0!</v>
      </c>
      <c r="V125" s="142">
        <v>123</v>
      </c>
      <c r="W125" s="139">
        <f>IF('kustannus-hyötyarviot'!$D$30-'kustannus-hyötyarviot'!$H$14&lt;0,1,'kustannus-hyötyarviot'!$D$30-'kustannus-hyötyarviot'!$H$14)</f>
        <v>0</v>
      </c>
      <c r="X125" s="141" t="e">
        <f>IF(W125=1,-1,IRR($W$2:W125))</f>
        <v>#NUM!</v>
      </c>
    </row>
    <row r="126" spans="16:24" x14ac:dyDescent="0.25">
      <c r="P126" s="142">
        <v>124</v>
      </c>
      <c r="Q126" s="139">
        <f>IF('kustannus-hyötyarviot'!$D$26-'kustannus-hyötyarviot'!$H$14&lt;0,1,'kustannus-hyötyarviot'!$D$26-'kustannus-hyötyarviot'!$H$14)</f>
        <v>0</v>
      </c>
      <c r="R126" s="141" t="e">
        <f>IF(Q126=1,-1,IRR(Q$2:$Q126))</f>
        <v>#NUM!</v>
      </c>
      <c r="S126" s="142">
        <v>124</v>
      </c>
      <c r="T126" s="139">
        <f>IF('kustannus-hyötyarviot'!$H$28-'kustannus-hyötyarviot'!$H$14&lt;0,1,'kustannus-hyötyarviot'!$H$28-'kustannus-hyötyarviot'!$H$14)</f>
        <v>210000</v>
      </c>
      <c r="U126" s="141" t="e">
        <f>IF(T126=1,-1,IRR($T$2:T126))</f>
        <v>#DIV/0!</v>
      </c>
      <c r="V126" s="142">
        <v>124</v>
      </c>
      <c r="W126" s="139">
        <f>IF('kustannus-hyötyarviot'!$D$30-'kustannus-hyötyarviot'!$H$14&lt;0,1,'kustannus-hyötyarviot'!$D$30-'kustannus-hyötyarviot'!$H$14)</f>
        <v>0</v>
      </c>
      <c r="X126" s="141" t="e">
        <f>IF(W126=1,-1,IRR($W$2:W126))</f>
        <v>#NUM!</v>
      </c>
    </row>
    <row r="127" spans="16:24" x14ac:dyDescent="0.25">
      <c r="P127" s="142">
        <v>125</v>
      </c>
      <c r="Q127" s="139">
        <f>IF('kustannus-hyötyarviot'!$D$26-'kustannus-hyötyarviot'!$H$14&lt;0,1,'kustannus-hyötyarviot'!$D$26-'kustannus-hyötyarviot'!$H$14)</f>
        <v>0</v>
      </c>
      <c r="R127" s="141" t="e">
        <f>IF(Q127=1,-1,IRR(Q$2:$Q127))</f>
        <v>#NUM!</v>
      </c>
      <c r="S127" s="142">
        <v>125</v>
      </c>
      <c r="T127" s="139">
        <f>IF('kustannus-hyötyarviot'!$H$28-'kustannus-hyötyarviot'!$H$14&lt;0,1,'kustannus-hyötyarviot'!$H$28-'kustannus-hyötyarviot'!$H$14)</f>
        <v>210000</v>
      </c>
      <c r="U127" s="141" t="e">
        <f>IF(T127=1,-1,IRR($T$2:T127))</f>
        <v>#DIV/0!</v>
      </c>
      <c r="V127" s="142">
        <v>125</v>
      </c>
      <c r="W127" s="139">
        <f>IF('kustannus-hyötyarviot'!$D$30-'kustannus-hyötyarviot'!$H$14&lt;0,1,'kustannus-hyötyarviot'!$D$30-'kustannus-hyötyarviot'!$H$14)</f>
        <v>0</v>
      </c>
      <c r="X127" s="141" t="e">
        <f>IF(W127=1,-1,IRR($W$2:W127))</f>
        <v>#NUM!</v>
      </c>
    </row>
    <row r="128" spans="16:24" x14ac:dyDescent="0.25">
      <c r="P128" s="142">
        <v>126</v>
      </c>
      <c r="Q128" s="139">
        <f>IF('kustannus-hyötyarviot'!$D$26-'kustannus-hyötyarviot'!$H$14&lt;0,1,'kustannus-hyötyarviot'!$D$26-'kustannus-hyötyarviot'!$H$14)</f>
        <v>0</v>
      </c>
      <c r="R128" s="141" t="e">
        <f>IF(Q128=1,-1,IRR(Q$2:$Q128))</f>
        <v>#NUM!</v>
      </c>
      <c r="S128" s="142">
        <v>126</v>
      </c>
      <c r="T128" s="139">
        <f>IF('kustannus-hyötyarviot'!$H$28-'kustannus-hyötyarviot'!$H$14&lt;0,1,'kustannus-hyötyarviot'!$H$28-'kustannus-hyötyarviot'!$H$14)</f>
        <v>210000</v>
      </c>
      <c r="U128" s="141" t="e">
        <f>IF(T128=1,-1,IRR($T$2:T128))</f>
        <v>#DIV/0!</v>
      </c>
      <c r="V128" s="142">
        <v>126</v>
      </c>
      <c r="W128" s="139">
        <f>IF('kustannus-hyötyarviot'!$D$30-'kustannus-hyötyarviot'!$H$14&lt;0,1,'kustannus-hyötyarviot'!$D$30-'kustannus-hyötyarviot'!$H$14)</f>
        <v>0</v>
      </c>
      <c r="X128" s="141" t="e">
        <f>IF(W128=1,-1,IRR($W$2:W128))</f>
        <v>#NUM!</v>
      </c>
    </row>
    <row r="129" spans="16:24" x14ac:dyDescent="0.25">
      <c r="P129" s="142">
        <v>127</v>
      </c>
      <c r="Q129" s="139">
        <f>IF('kustannus-hyötyarviot'!$D$26-'kustannus-hyötyarviot'!$H$14&lt;0,1,'kustannus-hyötyarviot'!$D$26-'kustannus-hyötyarviot'!$H$14)</f>
        <v>0</v>
      </c>
      <c r="R129" s="141" t="e">
        <f>IF(Q129=1,-1,IRR(Q$2:$Q129))</f>
        <v>#NUM!</v>
      </c>
      <c r="S129" s="142">
        <v>127</v>
      </c>
      <c r="T129" s="139">
        <f>IF('kustannus-hyötyarviot'!$H$28-'kustannus-hyötyarviot'!$H$14&lt;0,1,'kustannus-hyötyarviot'!$H$28-'kustannus-hyötyarviot'!$H$14)</f>
        <v>210000</v>
      </c>
      <c r="U129" s="141" t="e">
        <f>IF(T129=1,-1,IRR($T$2:T129))</f>
        <v>#DIV/0!</v>
      </c>
      <c r="V129" s="142">
        <v>127</v>
      </c>
      <c r="W129" s="139">
        <f>IF('kustannus-hyötyarviot'!$D$30-'kustannus-hyötyarviot'!$H$14&lt;0,1,'kustannus-hyötyarviot'!$D$30-'kustannus-hyötyarviot'!$H$14)</f>
        <v>0</v>
      </c>
      <c r="X129" s="141" t="e">
        <f>IF(W129=1,-1,IRR($W$2:W129))</f>
        <v>#NUM!</v>
      </c>
    </row>
    <row r="130" spans="16:24" x14ac:dyDescent="0.25">
      <c r="P130" s="142">
        <v>128</v>
      </c>
      <c r="Q130" s="139">
        <f>IF('kustannus-hyötyarviot'!$D$26-'kustannus-hyötyarviot'!$H$14&lt;0,1,'kustannus-hyötyarviot'!$D$26-'kustannus-hyötyarviot'!$H$14)</f>
        <v>0</v>
      </c>
      <c r="R130" s="141" t="e">
        <f>IF(Q130=1,-1,IRR(Q$2:$Q130))</f>
        <v>#NUM!</v>
      </c>
      <c r="S130" s="142">
        <v>128</v>
      </c>
      <c r="T130" s="139">
        <f>IF('kustannus-hyötyarviot'!$H$28-'kustannus-hyötyarviot'!$H$14&lt;0,1,'kustannus-hyötyarviot'!$H$28-'kustannus-hyötyarviot'!$H$14)</f>
        <v>210000</v>
      </c>
      <c r="U130" s="141" t="e">
        <f>IF(T130=1,-1,IRR($T$2:T130))</f>
        <v>#DIV/0!</v>
      </c>
      <c r="V130" s="142">
        <v>128</v>
      </c>
      <c r="W130" s="139">
        <f>IF('kustannus-hyötyarviot'!$D$30-'kustannus-hyötyarviot'!$H$14&lt;0,1,'kustannus-hyötyarviot'!$D$30-'kustannus-hyötyarviot'!$H$14)</f>
        <v>0</v>
      </c>
      <c r="X130" s="141" t="e">
        <f>IF(W130=1,-1,IRR($W$2:W130))</f>
        <v>#NUM!</v>
      </c>
    </row>
    <row r="131" spans="16:24" x14ac:dyDescent="0.25">
      <c r="P131" s="142">
        <v>129</v>
      </c>
      <c r="Q131" s="139">
        <f>IF('kustannus-hyötyarviot'!$D$26-'kustannus-hyötyarviot'!$H$14&lt;0,1,'kustannus-hyötyarviot'!$D$26-'kustannus-hyötyarviot'!$H$14)</f>
        <v>0</v>
      </c>
      <c r="R131" s="141" t="e">
        <f>IF(Q131=1,-1,IRR(Q$2:$Q131))</f>
        <v>#NUM!</v>
      </c>
      <c r="S131" s="142">
        <v>129</v>
      </c>
      <c r="T131" s="139">
        <f>IF('kustannus-hyötyarviot'!$H$28-'kustannus-hyötyarviot'!$H$14&lt;0,1,'kustannus-hyötyarviot'!$H$28-'kustannus-hyötyarviot'!$H$14)</f>
        <v>210000</v>
      </c>
      <c r="U131" s="141" t="e">
        <f>IF(T131=1,-1,IRR($T$2:T131))</f>
        <v>#DIV/0!</v>
      </c>
      <c r="V131" s="142">
        <v>129</v>
      </c>
      <c r="W131" s="139">
        <f>IF('kustannus-hyötyarviot'!$D$30-'kustannus-hyötyarviot'!$H$14&lt;0,1,'kustannus-hyötyarviot'!$D$30-'kustannus-hyötyarviot'!$H$14)</f>
        <v>0</v>
      </c>
      <c r="X131" s="141" t="e">
        <f>IF(W131=1,-1,IRR($W$2:W131))</f>
        <v>#NUM!</v>
      </c>
    </row>
    <row r="132" spans="16:24" x14ac:dyDescent="0.25">
      <c r="P132" s="142">
        <v>130</v>
      </c>
      <c r="Q132" s="139">
        <f>IF('kustannus-hyötyarviot'!$D$26-'kustannus-hyötyarviot'!$H$14&lt;0,1,'kustannus-hyötyarviot'!$D$26-'kustannus-hyötyarviot'!$H$14)</f>
        <v>0</v>
      </c>
      <c r="R132" s="141" t="e">
        <f>IF(Q132=1,-1,IRR(Q$2:$Q132))</f>
        <v>#NUM!</v>
      </c>
      <c r="S132" s="142">
        <v>130</v>
      </c>
      <c r="T132" s="139">
        <f>IF('kustannus-hyötyarviot'!$H$28-'kustannus-hyötyarviot'!$H$14&lt;0,1,'kustannus-hyötyarviot'!$H$28-'kustannus-hyötyarviot'!$H$14)</f>
        <v>210000</v>
      </c>
      <c r="U132" s="141" t="e">
        <f>IF(T132=1,-1,IRR($T$2:T132))</f>
        <v>#DIV/0!</v>
      </c>
      <c r="V132" s="142">
        <v>130</v>
      </c>
      <c r="W132" s="139">
        <f>IF('kustannus-hyötyarviot'!$D$30-'kustannus-hyötyarviot'!$H$14&lt;0,1,'kustannus-hyötyarviot'!$D$30-'kustannus-hyötyarviot'!$H$14)</f>
        <v>0</v>
      </c>
      <c r="X132" s="141" t="e">
        <f>IF(W132=1,-1,IRR($W$2:W132))</f>
        <v>#NUM!</v>
      </c>
    </row>
    <row r="133" spans="16:24" x14ac:dyDescent="0.25">
      <c r="P133" s="142">
        <v>131</v>
      </c>
      <c r="Q133" s="139">
        <f>IF('kustannus-hyötyarviot'!$D$26-'kustannus-hyötyarviot'!$H$14&lt;0,1,'kustannus-hyötyarviot'!$D$26-'kustannus-hyötyarviot'!$H$14)</f>
        <v>0</v>
      </c>
      <c r="R133" s="141" t="e">
        <f>IF(Q133=1,-1,IRR(Q$2:$Q133))</f>
        <v>#NUM!</v>
      </c>
      <c r="S133" s="142">
        <v>131</v>
      </c>
      <c r="T133" s="139">
        <f>IF('kustannus-hyötyarviot'!$H$28-'kustannus-hyötyarviot'!$H$14&lt;0,1,'kustannus-hyötyarviot'!$H$28-'kustannus-hyötyarviot'!$H$14)</f>
        <v>210000</v>
      </c>
      <c r="U133" s="141" t="e">
        <f>IF(T133=1,-1,IRR($T$2:T133))</f>
        <v>#DIV/0!</v>
      </c>
      <c r="V133" s="142">
        <v>131</v>
      </c>
      <c r="W133" s="139">
        <f>IF('kustannus-hyötyarviot'!$D$30-'kustannus-hyötyarviot'!$H$14&lt;0,1,'kustannus-hyötyarviot'!$D$30-'kustannus-hyötyarviot'!$H$14)</f>
        <v>0</v>
      </c>
      <c r="X133" s="141" t="e">
        <f>IF(W133=1,-1,IRR($W$2:W133))</f>
        <v>#NUM!</v>
      </c>
    </row>
    <row r="134" spans="16:24" x14ac:dyDescent="0.25">
      <c r="P134" s="142">
        <v>132</v>
      </c>
      <c r="Q134" s="139">
        <f>IF('kustannus-hyötyarviot'!$D$26-'kustannus-hyötyarviot'!$H$14&lt;0,1,'kustannus-hyötyarviot'!$D$26-'kustannus-hyötyarviot'!$H$14)</f>
        <v>0</v>
      </c>
      <c r="R134" s="141" t="e">
        <f>IF(Q134=1,-1,IRR(Q$2:$Q134))</f>
        <v>#NUM!</v>
      </c>
      <c r="S134" s="142">
        <v>132</v>
      </c>
      <c r="T134" s="139">
        <f>IF('kustannus-hyötyarviot'!$H$28-'kustannus-hyötyarviot'!$H$14&lt;0,1,'kustannus-hyötyarviot'!$H$28-'kustannus-hyötyarviot'!$H$14)</f>
        <v>210000</v>
      </c>
      <c r="U134" s="141" t="e">
        <f>IF(T134=1,-1,IRR($T$2:T134))</f>
        <v>#DIV/0!</v>
      </c>
      <c r="V134" s="142">
        <v>132</v>
      </c>
      <c r="W134" s="139">
        <f>IF('kustannus-hyötyarviot'!$D$30-'kustannus-hyötyarviot'!$H$14&lt;0,1,'kustannus-hyötyarviot'!$D$30-'kustannus-hyötyarviot'!$H$14)</f>
        <v>0</v>
      </c>
      <c r="X134" s="141" t="e">
        <f>IF(W134=1,-1,IRR($W$2:W134))</f>
        <v>#NUM!</v>
      </c>
    </row>
    <row r="135" spans="16:24" x14ac:dyDescent="0.25">
      <c r="P135" s="142">
        <v>133</v>
      </c>
      <c r="Q135" s="139">
        <f>IF('kustannus-hyötyarviot'!$D$26-'kustannus-hyötyarviot'!$H$14&lt;0,1,'kustannus-hyötyarviot'!$D$26-'kustannus-hyötyarviot'!$H$14)</f>
        <v>0</v>
      </c>
      <c r="R135" s="141" t="e">
        <f>IF(Q135=1,-1,IRR(Q$2:$Q135))</f>
        <v>#NUM!</v>
      </c>
      <c r="S135" s="142">
        <v>133</v>
      </c>
      <c r="T135" s="139">
        <f>IF('kustannus-hyötyarviot'!$H$28-'kustannus-hyötyarviot'!$H$14&lt;0,1,'kustannus-hyötyarviot'!$H$28-'kustannus-hyötyarviot'!$H$14)</f>
        <v>210000</v>
      </c>
      <c r="U135" s="141" t="e">
        <f>IF(T135=1,-1,IRR($T$2:T135))</f>
        <v>#DIV/0!</v>
      </c>
      <c r="V135" s="142">
        <v>133</v>
      </c>
      <c r="W135" s="139">
        <f>IF('kustannus-hyötyarviot'!$D$30-'kustannus-hyötyarviot'!$H$14&lt;0,1,'kustannus-hyötyarviot'!$D$30-'kustannus-hyötyarviot'!$H$14)</f>
        <v>0</v>
      </c>
      <c r="X135" s="141" t="e">
        <f>IF(W135=1,-1,IRR($W$2:W135))</f>
        <v>#NUM!</v>
      </c>
    </row>
    <row r="136" spans="16:24" x14ac:dyDescent="0.25">
      <c r="P136" s="142">
        <v>134</v>
      </c>
      <c r="Q136" s="139">
        <f>IF('kustannus-hyötyarviot'!$D$26-'kustannus-hyötyarviot'!$H$14&lt;0,1,'kustannus-hyötyarviot'!$D$26-'kustannus-hyötyarviot'!$H$14)</f>
        <v>0</v>
      </c>
      <c r="R136" s="141" t="e">
        <f>IF(Q136=1,-1,IRR(Q$2:$Q136))</f>
        <v>#NUM!</v>
      </c>
      <c r="S136" s="142">
        <v>134</v>
      </c>
      <c r="T136" s="139">
        <f>IF('kustannus-hyötyarviot'!$H$28-'kustannus-hyötyarviot'!$H$14&lt;0,1,'kustannus-hyötyarviot'!$H$28-'kustannus-hyötyarviot'!$H$14)</f>
        <v>210000</v>
      </c>
      <c r="U136" s="141" t="e">
        <f>IF(T136=1,-1,IRR($T$2:T136))</f>
        <v>#DIV/0!</v>
      </c>
      <c r="V136" s="142">
        <v>134</v>
      </c>
      <c r="W136" s="139">
        <f>IF('kustannus-hyötyarviot'!$D$30-'kustannus-hyötyarviot'!$H$14&lt;0,1,'kustannus-hyötyarviot'!$D$30-'kustannus-hyötyarviot'!$H$14)</f>
        <v>0</v>
      </c>
      <c r="X136" s="141" t="e">
        <f>IF(W136=1,-1,IRR($W$2:W136))</f>
        <v>#NUM!</v>
      </c>
    </row>
    <row r="137" spans="16:24" x14ac:dyDescent="0.25">
      <c r="P137" s="142">
        <v>135</v>
      </c>
      <c r="Q137" s="139">
        <f>IF('kustannus-hyötyarviot'!$D$26-'kustannus-hyötyarviot'!$H$14&lt;0,1,'kustannus-hyötyarviot'!$D$26-'kustannus-hyötyarviot'!$H$14)</f>
        <v>0</v>
      </c>
      <c r="R137" s="141" t="e">
        <f>IF(Q137=1,-1,IRR(Q$2:$Q137))</f>
        <v>#NUM!</v>
      </c>
      <c r="S137" s="142">
        <v>135</v>
      </c>
      <c r="T137" s="139">
        <f>IF('kustannus-hyötyarviot'!$H$28-'kustannus-hyötyarviot'!$H$14&lt;0,1,'kustannus-hyötyarviot'!$H$28-'kustannus-hyötyarviot'!$H$14)</f>
        <v>210000</v>
      </c>
      <c r="U137" s="141" t="e">
        <f>IF(T137=1,-1,IRR($T$2:T137))</f>
        <v>#DIV/0!</v>
      </c>
      <c r="V137" s="142">
        <v>135</v>
      </c>
      <c r="W137" s="139">
        <f>IF('kustannus-hyötyarviot'!$D$30-'kustannus-hyötyarviot'!$H$14&lt;0,1,'kustannus-hyötyarviot'!$D$30-'kustannus-hyötyarviot'!$H$14)</f>
        <v>0</v>
      </c>
      <c r="X137" s="141" t="e">
        <f>IF(W137=1,-1,IRR($W$2:W137))</f>
        <v>#NUM!</v>
      </c>
    </row>
    <row r="138" spans="16:24" x14ac:dyDescent="0.25">
      <c r="P138" s="142">
        <v>136</v>
      </c>
      <c r="Q138" s="139">
        <f>IF('kustannus-hyötyarviot'!$D$26-'kustannus-hyötyarviot'!$H$14&lt;0,1,'kustannus-hyötyarviot'!$D$26-'kustannus-hyötyarviot'!$H$14)</f>
        <v>0</v>
      </c>
      <c r="R138" s="141" t="e">
        <f>IF(Q138=1,-1,IRR(Q$2:$Q138))</f>
        <v>#NUM!</v>
      </c>
      <c r="S138" s="142">
        <v>136</v>
      </c>
      <c r="T138" s="139">
        <f>IF('kustannus-hyötyarviot'!$H$28-'kustannus-hyötyarviot'!$H$14&lt;0,1,'kustannus-hyötyarviot'!$H$28-'kustannus-hyötyarviot'!$H$14)</f>
        <v>210000</v>
      </c>
      <c r="U138" s="141" t="e">
        <f>IF(T138=1,-1,IRR($T$2:T138))</f>
        <v>#DIV/0!</v>
      </c>
      <c r="V138" s="142">
        <v>136</v>
      </c>
      <c r="W138" s="139">
        <f>IF('kustannus-hyötyarviot'!$D$30-'kustannus-hyötyarviot'!$H$14&lt;0,1,'kustannus-hyötyarviot'!$D$30-'kustannus-hyötyarviot'!$H$14)</f>
        <v>0</v>
      </c>
      <c r="X138" s="141" t="e">
        <f>IF(W138=1,-1,IRR($W$2:W138))</f>
        <v>#NUM!</v>
      </c>
    </row>
    <row r="139" spans="16:24" x14ac:dyDescent="0.25">
      <c r="P139" s="142">
        <v>137</v>
      </c>
      <c r="Q139" s="139">
        <f>IF('kustannus-hyötyarviot'!$D$26-'kustannus-hyötyarviot'!$H$14&lt;0,1,'kustannus-hyötyarviot'!$D$26-'kustannus-hyötyarviot'!$H$14)</f>
        <v>0</v>
      </c>
      <c r="R139" s="141" t="e">
        <f>IF(Q139=1,-1,IRR(Q$2:$Q139))</f>
        <v>#NUM!</v>
      </c>
      <c r="S139" s="142">
        <v>137</v>
      </c>
      <c r="T139" s="139">
        <f>IF('kustannus-hyötyarviot'!$H$28-'kustannus-hyötyarviot'!$H$14&lt;0,1,'kustannus-hyötyarviot'!$H$28-'kustannus-hyötyarviot'!$H$14)</f>
        <v>210000</v>
      </c>
      <c r="U139" s="141" t="e">
        <f>IF(T139=1,-1,IRR($T$2:T139))</f>
        <v>#DIV/0!</v>
      </c>
      <c r="V139" s="142">
        <v>137</v>
      </c>
      <c r="W139" s="139">
        <f>IF('kustannus-hyötyarviot'!$D$30-'kustannus-hyötyarviot'!$H$14&lt;0,1,'kustannus-hyötyarviot'!$D$30-'kustannus-hyötyarviot'!$H$14)</f>
        <v>0</v>
      </c>
      <c r="X139" s="141" t="e">
        <f>IF(W139=1,-1,IRR($W$2:W139))</f>
        <v>#NUM!</v>
      </c>
    </row>
    <row r="140" spans="16:24" x14ac:dyDescent="0.25">
      <c r="P140" s="142">
        <v>138</v>
      </c>
      <c r="Q140" s="139">
        <f>IF('kustannus-hyötyarviot'!$D$26-'kustannus-hyötyarviot'!$H$14&lt;0,1,'kustannus-hyötyarviot'!$D$26-'kustannus-hyötyarviot'!$H$14)</f>
        <v>0</v>
      </c>
      <c r="R140" s="141" t="e">
        <f>IF(Q140=1,-1,IRR(Q$2:$Q140))</f>
        <v>#NUM!</v>
      </c>
      <c r="S140" s="142">
        <v>138</v>
      </c>
      <c r="T140" s="139">
        <f>IF('kustannus-hyötyarviot'!$H$28-'kustannus-hyötyarviot'!$H$14&lt;0,1,'kustannus-hyötyarviot'!$H$28-'kustannus-hyötyarviot'!$H$14)</f>
        <v>210000</v>
      </c>
      <c r="U140" s="141" t="e">
        <f>IF(T140=1,-1,IRR($T$2:T140))</f>
        <v>#DIV/0!</v>
      </c>
      <c r="V140" s="142">
        <v>138</v>
      </c>
      <c r="W140" s="139">
        <f>IF('kustannus-hyötyarviot'!$D$30-'kustannus-hyötyarviot'!$H$14&lt;0,1,'kustannus-hyötyarviot'!$D$30-'kustannus-hyötyarviot'!$H$14)</f>
        <v>0</v>
      </c>
      <c r="X140" s="141" t="e">
        <f>IF(W140=1,-1,IRR($W$2:W140))</f>
        <v>#NUM!</v>
      </c>
    </row>
    <row r="141" spans="16:24" x14ac:dyDescent="0.25">
      <c r="P141" s="142">
        <v>139</v>
      </c>
      <c r="Q141" s="139">
        <f>IF('kustannus-hyötyarviot'!$D$26-'kustannus-hyötyarviot'!$H$14&lt;0,1,'kustannus-hyötyarviot'!$D$26-'kustannus-hyötyarviot'!$H$14)</f>
        <v>0</v>
      </c>
      <c r="R141" s="141" t="e">
        <f>IF(Q141=1,-1,IRR(Q$2:$Q141))</f>
        <v>#NUM!</v>
      </c>
      <c r="S141" s="142">
        <v>139</v>
      </c>
      <c r="T141" s="139">
        <f>IF('kustannus-hyötyarviot'!$H$28-'kustannus-hyötyarviot'!$H$14&lt;0,1,'kustannus-hyötyarviot'!$H$28-'kustannus-hyötyarviot'!$H$14)</f>
        <v>210000</v>
      </c>
      <c r="U141" s="141" t="e">
        <f>IF(T141=1,-1,IRR($T$2:T141))</f>
        <v>#DIV/0!</v>
      </c>
      <c r="V141" s="142">
        <v>139</v>
      </c>
      <c r="W141" s="139">
        <f>IF('kustannus-hyötyarviot'!$D$30-'kustannus-hyötyarviot'!$H$14&lt;0,1,'kustannus-hyötyarviot'!$D$30-'kustannus-hyötyarviot'!$H$14)</f>
        <v>0</v>
      </c>
      <c r="X141" s="141" t="e">
        <f>IF(W141=1,-1,IRR($W$2:W141))</f>
        <v>#NUM!</v>
      </c>
    </row>
    <row r="142" spans="16:24" x14ac:dyDescent="0.25">
      <c r="P142" s="142">
        <v>140</v>
      </c>
      <c r="Q142" s="139">
        <f>IF('kustannus-hyötyarviot'!$D$26-'kustannus-hyötyarviot'!$H$14&lt;0,1,'kustannus-hyötyarviot'!$D$26-'kustannus-hyötyarviot'!$H$14)</f>
        <v>0</v>
      </c>
      <c r="R142" s="141" t="e">
        <f>IF(Q142=1,-1,IRR(Q$2:$Q142))</f>
        <v>#NUM!</v>
      </c>
      <c r="S142" s="142">
        <v>140</v>
      </c>
      <c r="T142" s="139">
        <f>IF('kustannus-hyötyarviot'!$H$28-'kustannus-hyötyarviot'!$H$14&lt;0,1,'kustannus-hyötyarviot'!$H$28-'kustannus-hyötyarviot'!$H$14)</f>
        <v>210000</v>
      </c>
      <c r="U142" s="141" t="e">
        <f>IF(T142=1,-1,IRR($T$2:T142))</f>
        <v>#DIV/0!</v>
      </c>
      <c r="V142" s="142">
        <v>140</v>
      </c>
      <c r="W142" s="139">
        <f>IF('kustannus-hyötyarviot'!$D$30-'kustannus-hyötyarviot'!$H$14&lt;0,1,'kustannus-hyötyarviot'!$D$30-'kustannus-hyötyarviot'!$H$14)</f>
        <v>0</v>
      </c>
      <c r="X142" s="141" t="e">
        <f>IF(W142=1,-1,IRR($W$2:W142))</f>
        <v>#NUM!</v>
      </c>
    </row>
    <row r="143" spans="16:24" x14ac:dyDescent="0.25">
      <c r="P143" s="142">
        <v>141</v>
      </c>
      <c r="Q143" s="139">
        <f>IF('kustannus-hyötyarviot'!$D$26-'kustannus-hyötyarviot'!$H$14&lt;0,1,'kustannus-hyötyarviot'!$D$26-'kustannus-hyötyarviot'!$H$14)</f>
        <v>0</v>
      </c>
      <c r="R143" s="141" t="e">
        <f>IF(Q143=1,-1,IRR(Q$2:$Q143))</f>
        <v>#NUM!</v>
      </c>
      <c r="S143" s="142">
        <v>141</v>
      </c>
      <c r="T143" s="139">
        <f>IF('kustannus-hyötyarviot'!$H$28-'kustannus-hyötyarviot'!$H$14&lt;0,1,'kustannus-hyötyarviot'!$H$28-'kustannus-hyötyarviot'!$H$14)</f>
        <v>210000</v>
      </c>
      <c r="U143" s="141" t="e">
        <f>IF(T143=1,-1,IRR($T$2:T143))</f>
        <v>#DIV/0!</v>
      </c>
      <c r="V143" s="142">
        <v>141</v>
      </c>
      <c r="W143" s="139">
        <f>IF('kustannus-hyötyarviot'!$D$30-'kustannus-hyötyarviot'!$H$14&lt;0,1,'kustannus-hyötyarviot'!$D$30-'kustannus-hyötyarviot'!$H$14)</f>
        <v>0</v>
      </c>
      <c r="X143" s="141" t="e">
        <f>IF(W143=1,-1,IRR($W$2:W143))</f>
        <v>#NUM!</v>
      </c>
    </row>
    <row r="144" spans="16:24" x14ac:dyDescent="0.25">
      <c r="P144" s="142">
        <v>142</v>
      </c>
      <c r="Q144" s="139">
        <f>IF('kustannus-hyötyarviot'!$D$26-'kustannus-hyötyarviot'!$H$14&lt;0,1,'kustannus-hyötyarviot'!$D$26-'kustannus-hyötyarviot'!$H$14)</f>
        <v>0</v>
      </c>
      <c r="R144" s="141" t="e">
        <f>IF(Q144=1,-1,IRR(Q$2:$Q144))</f>
        <v>#NUM!</v>
      </c>
      <c r="S144" s="142">
        <v>142</v>
      </c>
      <c r="T144" s="139">
        <f>IF('kustannus-hyötyarviot'!$H$28-'kustannus-hyötyarviot'!$H$14&lt;0,1,'kustannus-hyötyarviot'!$H$28-'kustannus-hyötyarviot'!$H$14)</f>
        <v>210000</v>
      </c>
      <c r="U144" s="141" t="e">
        <f>IF(T144=1,-1,IRR($T$2:T144))</f>
        <v>#DIV/0!</v>
      </c>
      <c r="V144" s="142">
        <v>142</v>
      </c>
      <c r="W144" s="139">
        <f>IF('kustannus-hyötyarviot'!$D$30-'kustannus-hyötyarviot'!$H$14&lt;0,1,'kustannus-hyötyarviot'!$D$30-'kustannus-hyötyarviot'!$H$14)</f>
        <v>0</v>
      </c>
      <c r="X144" s="141" t="e">
        <f>IF(W144=1,-1,IRR($W$2:W144))</f>
        <v>#NUM!</v>
      </c>
    </row>
    <row r="145" spans="16:24" x14ac:dyDescent="0.25">
      <c r="P145" s="142">
        <v>143</v>
      </c>
      <c r="Q145" s="139">
        <f>IF('kustannus-hyötyarviot'!$D$26-'kustannus-hyötyarviot'!$H$14&lt;0,1,'kustannus-hyötyarviot'!$D$26-'kustannus-hyötyarviot'!$H$14)</f>
        <v>0</v>
      </c>
      <c r="R145" s="141" t="e">
        <f>IF(Q145=1,-1,IRR(Q$2:$Q145))</f>
        <v>#NUM!</v>
      </c>
      <c r="S145" s="142">
        <v>143</v>
      </c>
      <c r="T145" s="139">
        <f>IF('kustannus-hyötyarviot'!$H$28-'kustannus-hyötyarviot'!$H$14&lt;0,1,'kustannus-hyötyarviot'!$H$28-'kustannus-hyötyarviot'!$H$14)</f>
        <v>210000</v>
      </c>
      <c r="U145" s="141" t="e">
        <f>IF(T145=1,-1,IRR($T$2:T145))</f>
        <v>#DIV/0!</v>
      </c>
      <c r="V145" s="142">
        <v>143</v>
      </c>
      <c r="W145" s="139">
        <f>IF('kustannus-hyötyarviot'!$D$30-'kustannus-hyötyarviot'!$H$14&lt;0,1,'kustannus-hyötyarviot'!$D$30-'kustannus-hyötyarviot'!$H$14)</f>
        <v>0</v>
      </c>
      <c r="X145" s="141" t="e">
        <f>IF(W145=1,-1,IRR($W$2:W145))</f>
        <v>#NUM!</v>
      </c>
    </row>
    <row r="146" spans="16:24" x14ac:dyDescent="0.25">
      <c r="P146" s="142">
        <v>144</v>
      </c>
      <c r="Q146" s="139">
        <f>IF('kustannus-hyötyarviot'!$D$26-'kustannus-hyötyarviot'!$H$14&lt;0,1,'kustannus-hyötyarviot'!$D$26-'kustannus-hyötyarviot'!$H$14)</f>
        <v>0</v>
      </c>
      <c r="R146" s="141" t="e">
        <f>IF(Q146=1,-1,IRR(Q$2:$Q146))</f>
        <v>#NUM!</v>
      </c>
      <c r="S146" s="142">
        <v>144</v>
      </c>
      <c r="T146" s="139">
        <f>IF('kustannus-hyötyarviot'!$H$28-'kustannus-hyötyarviot'!$H$14&lt;0,1,'kustannus-hyötyarviot'!$H$28-'kustannus-hyötyarviot'!$H$14)</f>
        <v>210000</v>
      </c>
      <c r="U146" s="141" t="e">
        <f>IF(T146=1,-1,IRR($T$2:T146))</f>
        <v>#DIV/0!</v>
      </c>
      <c r="V146" s="142">
        <v>144</v>
      </c>
      <c r="W146" s="139">
        <f>IF('kustannus-hyötyarviot'!$D$30-'kustannus-hyötyarviot'!$H$14&lt;0,1,'kustannus-hyötyarviot'!$D$30-'kustannus-hyötyarviot'!$H$14)</f>
        <v>0</v>
      </c>
      <c r="X146" s="141" t="e">
        <f>IF(W146=1,-1,IRR($W$2:W146))</f>
        <v>#NUM!</v>
      </c>
    </row>
    <row r="147" spans="16:24" x14ac:dyDescent="0.25">
      <c r="P147" s="142">
        <v>145</v>
      </c>
      <c r="Q147" s="139">
        <f>IF('kustannus-hyötyarviot'!$D$26-'kustannus-hyötyarviot'!$H$14&lt;0,1,'kustannus-hyötyarviot'!$D$26-'kustannus-hyötyarviot'!$H$14)</f>
        <v>0</v>
      </c>
      <c r="R147" s="141" t="e">
        <f>IF(Q147=1,-1,IRR(Q$2:$Q147))</f>
        <v>#NUM!</v>
      </c>
      <c r="S147" s="142">
        <v>145</v>
      </c>
      <c r="T147" s="139">
        <f>IF('kustannus-hyötyarviot'!$H$28-'kustannus-hyötyarviot'!$H$14&lt;0,1,'kustannus-hyötyarviot'!$H$28-'kustannus-hyötyarviot'!$H$14)</f>
        <v>210000</v>
      </c>
      <c r="U147" s="141" t="e">
        <f>IF(T147=1,-1,IRR($T$2:T147))</f>
        <v>#DIV/0!</v>
      </c>
      <c r="V147" s="142">
        <v>145</v>
      </c>
      <c r="W147" s="139">
        <f>IF('kustannus-hyötyarviot'!$D$30-'kustannus-hyötyarviot'!$H$14&lt;0,1,'kustannus-hyötyarviot'!$D$30-'kustannus-hyötyarviot'!$H$14)</f>
        <v>0</v>
      </c>
      <c r="X147" s="141" t="e">
        <f>IF(W147=1,-1,IRR($W$2:W147))</f>
        <v>#NUM!</v>
      </c>
    </row>
    <row r="148" spans="16:24" x14ac:dyDescent="0.25">
      <c r="P148" s="142">
        <v>146</v>
      </c>
      <c r="Q148" s="139">
        <f>IF('kustannus-hyötyarviot'!$D$26-'kustannus-hyötyarviot'!$H$14&lt;0,1,'kustannus-hyötyarviot'!$D$26-'kustannus-hyötyarviot'!$H$14)</f>
        <v>0</v>
      </c>
      <c r="R148" s="141" t="e">
        <f>IF(Q148=1,-1,IRR(Q$2:$Q148))</f>
        <v>#NUM!</v>
      </c>
      <c r="S148" s="142">
        <v>146</v>
      </c>
      <c r="T148" s="139">
        <f>IF('kustannus-hyötyarviot'!$H$28-'kustannus-hyötyarviot'!$H$14&lt;0,1,'kustannus-hyötyarviot'!$H$28-'kustannus-hyötyarviot'!$H$14)</f>
        <v>210000</v>
      </c>
      <c r="U148" s="141" t="e">
        <f>IF(T148=1,-1,IRR($T$2:T148))</f>
        <v>#DIV/0!</v>
      </c>
      <c r="V148" s="142">
        <v>146</v>
      </c>
      <c r="W148" s="139">
        <f>IF('kustannus-hyötyarviot'!$D$30-'kustannus-hyötyarviot'!$H$14&lt;0,1,'kustannus-hyötyarviot'!$D$30-'kustannus-hyötyarviot'!$H$14)</f>
        <v>0</v>
      </c>
      <c r="X148" s="141" t="e">
        <f>IF(W148=1,-1,IRR($W$2:W148))</f>
        <v>#NUM!</v>
      </c>
    </row>
    <row r="149" spans="16:24" x14ac:dyDescent="0.25">
      <c r="P149" s="142">
        <v>147</v>
      </c>
      <c r="Q149" s="139">
        <f>IF('kustannus-hyötyarviot'!$D$26-'kustannus-hyötyarviot'!$H$14&lt;0,1,'kustannus-hyötyarviot'!$D$26-'kustannus-hyötyarviot'!$H$14)</f>
        <v>0</v>
      </c>
      <c r="R149" s="141" t="e">
        <f>IF(Q149=1,-1,IRR(Q$2:$Q149))</f>
        <v>#NUM!</v>
      </c>
      <c r="S149" s="142">
        <v>147</v>
      </c>
      <c r="T149" s="139">
        <f>IF('kustannus-hyötyarviot'!$H$28-'kustannus-hyötyarviot'!$H$14&lt;0,1,'kustannus-hyötyarviot'!$H$28-'kustannus-hyötyarviot'!$H$14)</f>
        <v>210000</v>
      </c>
      <c r="U149" s="141" t="e">
        <f>IF(T149=1,-1,IRR($T$2:T149))</f>
        <v>#DIV/0!</v>
      </c>
      <c r="V149" s="142">
        <v>147</v>
      </c>
      <c r="W149" s="139">
        <f>IF('kustannus-hyötyarviot'!$D$30-'kustannus-hyötyarviot'!$H$14&lt;0,1,'kustannus-hyötyarviot'!$D$30-'kustannus-hyötyarviot'!$H$14)</f>
        <v>0</v>
      </c>
      <c r="X149" s="141" t="e">
        <f>IF(W149=1,-1,IRR($W$2:W149))</f>
        <v>#NUM!</v>
      </c>
    </row>
    <row r="150" spans="16:24" x14ac:dyDescent="0.25">
      <c r="P150" s="142">
        <v>148</v>
      </c>
      <c r="Q150" s="139">
        <f>IF('kustannus-hyötyarviot'!$D$26-'kustannus-hyötyarviot'!$H$14&lt;0,1,'kustannus-hyötyarviot'!$D$26-'kustannus-hyötyarviot'!$H$14)</f>
        <v>0</v>
      </c>
      <c r="R150" s="141" t="e">
        <f>IF(Q150=1,-1,IRR(Q$2:$Q150))</f>
        <v>#NUM!</v>
      </c>
      <c r="S150" s="142">
        <v>148</v>
      </c>
      <c r="T150" s="139">
        <f>IF('kustannus-hyötyarviot'!$H$28-'kustannus-hyötyarviot'!$H$14&lt;0,1,'kustannus-hyötyarviot'!$H$28-'kustannus-hyötyarviot'!$H$14)</f>
        <v>210000</v>
      </c>
      <c r="U150" s="141" t="e">
        <f>IF(T150=1,-1,IRR($T$2:T150))</f>
        <v>#DIV/0!</v>
      </c>
      <c r="V150" s="142">
        <v>148</v>
      </c>
      <c r="W150" s="139">
        <f>IF('kustannus-hyötyarviot'!$D$30-'kustannus-hyötyarviot'!$H$14&lt;0,1,'kustannus-hyötyarviot'!$D$30-'kustannus-hyötyarviot'!$H$14)</f>
        <v>0</v>
      </c>
      <c r="X150" s="141" t="e">
        <f>IF(W150=1,-1,IRR($W$2:W150))</f>
        <v>#NUM!</v>
      </c>
    </row>
    <row r="151" spans="16:24" x14ac:dyDescent="0.25">
      <c r="P151" s="142">
        <v>149</v>
      </c>
      <c r="Q151" s="139">
        <f>IF('kustannus-hyötyarviot'!$D$26-'kustannus-hyötyarviot'!$H$14&lt;0,1,'kustannus-hyötyarviot'!$D$26-'kustannus-hyötyarviot'!$H$14)</f>
        <v>0</v>
      </c>
      <c r="R151" s="141" t="e">
        <f>IF(Q151=1,-1,IRR(Q$2:$Q151))</f>
        <v>#NUM!</v>
      </c>
      <c r="S151" s="142">
        <v>149</v>
      </c>
      <c r="T151" s="139">
        <f>IF('kustannus-hyötyarviot'!$H$28-'kustannus-hyötyarviot'!$H$14&lt;0,1,'kustannus-hyötyarviot'!$H$28-'kustannus-hyötyarviot'!$H$14)</f>
        <v>210000</v>
      </c>
      <c r="U151" s="141" t="e">
        <f>IF(T151=1,-1,IRR($T$2:T151))</f>
        <v>#DIV/0!</v>
      </c>
      <c r="V151" s="142">
        <v>149</v>
      </c>
      <c r="W151" s="139">
        <f>IF('kustannus-hyötyarviot'!$D$30-'kustannus-hyötyarviot'!$H$14&lt;0,1,'kustannus-hyötyarviot'!$D$30-'kustannus-hyötyarviot'!$H$14)</f>
        <v>0</v>
      </c>
      <c r="X151" s="141" t="e">
        <f>IF(W151=1,-1,IRR($W$2:W151))</f>
        <v>#NUM!</v>
      </c>
    </row>
    <row r="152" spans="16:24" x14ac:dyDescent="0.25">
      <c r="P152" s="142">
        <v>150</v>
      </c>
      <c r="Q152" s="139">
        <f>IF('kustannus-hyötyarviot'!$D$26-'kustannus-hyötyarviot'!$H$14&lt;0,1,'kustannus-hyötyarviot'!$D$26-'kustannus-hyötyarviot'!$H$14)</f>
        <v>0</v>
      </c>
      <c r="R152" s="141" t="e">
        <f>IF(Q152=1,-1,IRR(Q$2:$Q152))</f>
        <v>#NUM!</v>
      </c>
      <c r="S152" s="142">
        <v>150</v>
      </c>
      <c r="T152" s="139">
        <f>IF('kustannus-hyötyarviot'!$H$28-'kustannus-hyötyarviot'!$H$14&lt;0,1,'kustannus-hyötyarviot'!$H$28-'kustannus-hyötyarviot'!$H$14)</f>
        <v>210000</v>
      </c>
      <c r="U152" s="141" t="e">
        <f>IF(T152=1,-1,IRR($T$2:T152))</f>
        <v>#DIV/0!</v>
      </c>
      <c r="V152" s="142">
        <v>150</v>
      </c>
      <c r="W152" s="139">
        <f>IF('kustannus-hyötyarviot'!$D$30-'kustannus-hyötyarviot'!$H$14&lt;0,1,'kustannus-hyötyarviot'!$D$30-'kustannus-hyötyarviot'!$H$14)</f>
        <v>0</v>
      </c>
      <c r="X152" s="141" t="e">
        <f>IF(W152=1,-1,IRR($W$2:W152))</f>
        <v>#NUM!</v>
      </c>
    </row>
    <row r="153" spans="16:24" x14ac:dyDescent="0.25">
      <c r="P153" s="142">
        <v>151</v>
      </c>
      <c r="Q153" s="139">
        <f>IF('kustannus-hyötyarviot'!$D$26-'kustannus-hyötyarviot'!$H$14&lt;0,1,'kustannus-hyötyarviot'!$D$26-'kustannus-hyötyarviot'!$H$14)</f>
        <v>0</v>
      </c>
      <c r="R153" s="141" t="e">
        <f>IF(Q153=1,-1,IRR(Q$2:$Q153))</f>
        <v>#NUM!</v>
      </c>
      <c r="S153" s="142">
        <v>151</v>
      </c>
      <c r="T153" s="139">
        <f>IF('kustannus-hyötyarviot'!$H$28-'kustannus-hyötyarviot'!$H$14&lt;0,1,'kustannus-hyötyarviot'!$H$28-'kustannus-hyötyarviot'!$H$14)</f>
        <v>210000</v>
      </c>
      <c r="U153" s="141" t="e">
        <f>IF(T153=1,-1,IRR($T$2:T153))</f>
        <v>#DIV/0!</v>
      </c>
      <c r="V153" s="142">
        <v>151</v>
      </c>
      <c r="W153" s="139">
        <f>IF('kustannus-hyötyarviot'!$D$30-'kustannus-hyötyarviot'!$H$14&lt;0,1,'kustannus-hyötyarviot'!$D$30-'kustannus-hyötyarviot'!$H$14)</f>
        <v>0</v>
      </c>
      <c r="X153" s="141" t="e">
        <f>IF(W153=1,-1,IRR($W$2:W153))</f>
        <v>#NUM!</v>
      </c>
    </row>
    <row r="154" spans="16:24" x14ac:dyDescent="0.25">
      <c r="P154" s="142">
        <v>152</v>
      </c>
      <c r="Q154" s="139">
        <f>IF('kustannus-hyötyarviot'!$D$26-'kustannus-hyötyarviot'!$H$14&lt;0,1,'kustannus-hyötyarviot'!$D$26-'kustannus-hyötyarviot'!$H$14)</f>
        <v>0</v>
      </c>
      <c r="R154" s="141" t="e">
        <f>IF(Q154=1,-1,IRR(Q$2:$Q154))</f>
        <v>#NUM!</v>
      </c>
      <c r="S154" s="142">
        <v>152</v>
      </c>
      <c r="T154" s="139">
        <f>IF('kustannus-hyötyarviot'!$H$28-'kustannus-hyötyarviot'!$H$14&lt;0,1,'kustannus-hyötyarviot'!$H$28-'kustannus-hyötyarviot'!$H$14)</f>
        <v>210000</v>
      </c>
      <c r="U154" s="141" t="e">
        <f>IF(T154=1,-1,IRR($T$2:T154))</f>
        <v>#DIV/0!</v>
      </c>
      <c r="V154" s="142">
        <v>152</v>
      </c>
      <c r="W154" s="139">
        <f>IF('kustannus-hyötyarviot'!$D$30-'kustannus-hyötyarviot'!$H$14&lt;0,1,'kustannus-hyötyarviot'!$D$30-'kustannus-hyötyarviot'!$H$14)</f>
        <v>0</v>
      </c>
      <c r="X154" s="141" t="e">
        <f>IF(W154=1,-1,IRR($W$2:W154))</f>
        <v>#NUM!</v>
      </c>
    </row>
    <row r="155" spans="16:24" x14ac:dyDescent="0.25">
      <c r="P155" s="142">
        <v>153</v>
      </c>
      <c r="Q155" s="139">
        <f>IF('kustannus-hyötyarviot'!$D$26-'kustannus-hyötyarviot'!$H$14&lt;0,1,'kustannus-hyötyarviot'!$D$26-'kustannus-hyötyarviot'!$H$14)</f>
        <v>0</v>
      </c>
      <c r="R155" s="141" t="e">
        <f>IF(Q155=1,-1,IRR(Q$2:$Q155))</f>
        <v>#NUM!</v>
      </c>
      <c r="S155" s="142">
        <v>153</v>
      </c>
      <c r="T155" s="139">
        <f>IF('kustannus-hyötyarviot'!$H$28-'kustannus-hyötyarviot'!$H$14&lt;0,1,'kustannus-hyötyarviot'!$H$28-'kustannus-hyötyarviot'!$H$14)</f>
        <v>210000</v>
      </c>
      <c r="U155" s="141" t="e">
        <f>IF(T155=1,-1,IRR($T$2:T155))</f>
        <v>#DIV/0!</v>
      </c>
      <c r="V155" s="142">
        <v>153</v>
      </c>
      <c r="W155" s="139">
        <f>IF('kustannus-hyötyarviot'!$D$30-'kustannus-hyötyarviot'!$H$14&lt;0,1,'kustannus-hyötyarviot'!$D$30-'kustannus-hyötyarviot'!$H$14)</f>
        <v>0</v>
      </c>
      <c r="X155" s="141" t="e">
        <f>IF(W155=1,-1,IRR($W$2:W155))</f>
        <v>#NUM!</v>
      </c>
    </row>
    <row r="156" spans="16:24" x14ac:dyDescent="0.25">
      <c r="P156" s="142">
        <v>154</v>
      </c>
      <c r="Q156" s="139">
        <f>IF('kustannus-hyötyarviot'!$D$26-'kustannus-hyötyarviot'!$H$14&lt;0,1,'kustannus-hyötyarviot'!$D$26-'kustannus-hyötyarviot'!$H$14)</f>
        <v>0</v>
      </c>
      <c r="R156" s="141" t="e">
        <f>IF(Q156=1,-1,IRR(Q$2:$Q156))</f>
        <v>#NUM!</v>
      </c>
      <c r="S156" s="142">
        <v>154</v>
      </c>
      <c r="T156" s="139">
        <f>IF('kustannus-hyötyarviot'!$H$28-'kustannus-hyötyarviot'!$H$14&lt;0,1,'kustannus-hyötyarviot'!$H$28-'kustannus-hyötyarviot'!$H$14)</f>
        <v>210000</v>
      </c>
      <c r="U156" s="141" t="e">
        <f>IF(T156=1,-1,IRR($T$2:T156))</f>
        <v>#DIV/0!</v>
      </c>
      <c r="V156" s="142">
        <v>154</v>
      </c>
      <c r="W156" s="139">
        <f>IF('kustannus-hyötyarviot'!$D$30-'kustannus-hyötyarviot'!$H$14&lt;0,1,'kustannus-hyötyarviot'!$D$30-'kustannus-hyötyarviot'!$H$14)</f>
        <v>0</v>
      </c>
      <c r="X156" s="141" t="e">
        <f>IF(W156=1,-1,IRR($W$2:W156))</f>
        <v>#NUM!</v>
      </c>
    </row>
    <row r="157" spans="16:24" x14ac:dyDescent="0.25">
      <c r="P157" s="142">
        <v>155</v>
      </c>
      <c r="Q157" s="139">
        <f>IF('kustannus-hyötyarviot'!$D$26-'kustannus-hyötyarviot'!$H$14&lt;0,1,'kustannus-hyötyarviot'!$D$26-'kustannus-hyötyarviot'!$H$14)</f>
        <v>0</v>
      </c>
      <c r="R157" s="141" t="e">
        <f>IF(Q157=1,-1,IRR(Q$2:$Q157))</f>
        <v>#NUM!</v>
      </c>
      <c r="S157" s="142">
        <v>155</v>
      </c>
      <c r="T157" s="139">
        <f>IF('kustannus-hyötyarviot'!$H$28-'kustannus-hyötyarviot'!$H$14&lt;0,1,'kustannus-hyötyarviot'!$H$28-'kustannus-hyötyarviot'!$H$14)</f>
        <v>210000</v>
      </c>
      <c r="U157" s="141" t="e">
        <f>IF(T157=1,-1,IRR($T$2:T157))</f>
        <v>#DIV/0!</v>
      </c>
      <c r="V157" s="142">
        <v>155</v>
      </c>
      <c r="W157" s="139">
        <f>IF('kustannus-hyötyarviot'!$D$30-'kustannus-hyötyarviot'!$H$14&lt;0,1,'kustannus-hyötyarviot'!$D$30-'kustannus-hyötyarviot'!$H$14)</f>
        <v>0</v>
      </c>
      <c r="X157" s="141" t="e">
        <f>IF(W157=1,-1,IRR($W$2:W157))</f>
        <v>#NUM!</v>
      </c>
    </row>
    <row r="158" spans="16:24" x14ac:dyDescent="0.25">
      <c r="P158" s="142">
        <v>156</v>
      </c>
      <c r="Q158" s="139">
        <f>IF('kustannus-hyötyarviot'!$D$26-'kustannus-hyötyarviot'!$H$14&lt;0,1,'kustannus-hyötyarviot'!$D$26-'kustannus-hyötyarviot'!$H$14)</f>
        <v>0</v>
      </c>
      <c r="R158" s="141" t="e">
        <f>IF(Q158=1,-1,IRR(Q$2:$Q158))</f>
        <v>#NUM!</v>
      </c>
      <c r="S158" s="142">
        <v>156</v>
      </c>
      <c r="T158" s="139">
        <f>IF('kustannus-hyötyarviot'!$H$28-'kustannus-hyötyarviot'!$H$14&lt;0,1,'kustannus-hyötyarviot'!$H$28-'kustannus-hyötyarviot'!$H$14)</f>
        <v>210000</v>
      </c>
      <c r="U158" s="141" t="e">
        <f>IF(T158=1,-1,IRR($T$2:T158))</f>
        <v>#DIV/0!</v>
      </c>
      <c r="V158" s="142">
        <v>156</v>
      </c>
      <c r="W158" s="139">
        <f>IF('kustannus-hyötyarviot'!$D$30-'kustannus-hyötyarviot'!$H$14&lt;0,1,'kustannus-hyötyarviot'!$D$30-'kustannus-hyötyarviot'!$H$14)</f>
        <v>0</v>
      </c>
      <c r="X158" s="141" t="e">
        <f>IF(W158=1,-1,IRR($W$2:W158))</f>
        <v>#NUM!</v>
      </c>
    </row>
    <row r="159" spans="16:24" x14ac:dyDescent="0.25">
      <c r="P159" s="142">
        <v>157</v>
      </c>
      <c r="Q159" s="139">
        <f>IF('kustannus-hyötyarviot'!$D$26-'kustannus-hyötyarviot'!$H$14&lt;0,1,'kustannus-hyötyarviot'!$D$26-'kustannus-hyötyarviot'!$H$14)</f>
        <v>0</v>
      </c>
      <c r="R159" s="141" t="e">
        <f>IF(Q159=1,-1,IRR(Q$2:$Q159))</f>
        <v>#NUM!</v>
      </c>
      <c r="S159" s="142">
        <v>157</v>
      </c>
      <c r="T159" s="139">
        <f>IF('kustannus-hyötyarviot'!$H$28-'kustannus-hyötyarviot'!$H$14&lt;0,1,'kustannus-hyötyarviot'!$H$28-'kustannus-hyötyarviot'!$H$14)</f>
        <v>210000</v>
      </c>
      <c r="U159" s="141" t="e">
        <f>IF(T159=1,-1,IRR($T$2:T159))</f>
        <v>#DIV/0!</v>
      </c>
      <c r="V159" s="142">
        <v>157</v>
      </c>
      <c r="W159" s="139">
        <f>IF('kustannus-hyötyarviot'!$D$30-'kustannus-hyötyarviot'!$H$14&lt;0,1,'kustannus-hyötyarviot'!$D$30-'kustannus-hyötyarviot'!$H$14)</f>
        <v>0</v>
      </c>
      <c r="X159" s="141" t="e">
        <f>IF(W159=1,-1,IRR($W$2:W159))</f>
        <v>#NUM!</v>
      </c>
    </row>
    <row r="160" spans="16:24" x14ac:dyDescent="0.25">
      <c r="P160" s="142">
        <v>158</v>
      </c>
      <c r="Q160" s="139">
        <f>IF('kustannus-hyötyarviot'!$D$26-'kustannus-hyötyarviot'!$H$14&lt;0,1,'kustannus-hyötyarviot'!$D$26-'kustannus-hyötyarviot'!$H$14)</f>
        <v>0</v>
      </c>
      <c r="R160" s="141" t="e">
        <f>IF(Q160=1,-1,IRR(Q$2:$Q160))</f>
        <v>#NUM!</v>
      </c>
      <c r="S160" s="142">
        <v>158</v>
      </c>
      <c r="T160" s="139">
        <f>IF('kustannus-hyötyarviot'!$H$28-'kustannus-hyötyarviot'!$H$14&lt;0,1,'kustannus-hyötyarviot'!$H$28-'kustannus-hyötyarviot'!$H$14)</f>
        <v>210000</v>
      </c>
      <c r="U160" s="141" t="e">
        <f>IF(T160=1,-1,IRR($T$2:T160))</f>
        <v>#DIV/0!</v>
      </c>
      <c r="V160" s="142">
        <v>158</v>
      </c>
      <c r="W160" s="139">
        <f>IF('kustannus-hyötyarviot'!$D$30-'kustannus-hyötyarviot'!$H$14&lt;0,1,'kustannus-hyötyarviot'!$D$30-'kustannus-hyötyarviot'!$H$14)</f>
        <v>0</v>
      </c>
      <c r="X160" s="141" t="e">
        <f>IF(W160=1,-1,IRR($W$2:W160))</f>
        <v>#NUM!</v>
      </c>
    </row>
    <row r="161" spans="16:24" x14ac:dyDescent="0.25">
      <c r="P161" s="142">
        <v>159</v>
      </c>
      <c r="Q161" s="139">
        <f>IF('kustannus-hyötyarviot'!$D$26-'kustannus-hyötyarviot'!$H$14&lt;0,1,'kustannus-hyötyarviot'!$D$26-'kustannus-hyötyarviot'!$H$14)</f>
        <v>0</v>
      </c>
      <c r="R161" s="141" t="e">
        <f>IF(Q161=1,-1,IRR(Q$2:$Q161))</f>
        <v>#NUM!</v>
      </c>
      <c r="S161" s="142">
        <v>159</v>
      </c>
      <c r="T161" s="139">
        <f>IF('kustannus-hyötyarviot'!$H$28-'kustannus-hyötyarviot'!$H$14&lt;0,1,'kustannus-hyötyarviot'!$H$28-'kustannus-hyötyarviot'!$H$14)</f>
        <v>210000</v>
      </c>
      <c r="U161" s="141" t="e">
        <f>IF(T161=1,-1,IRR($T$2:T161))</f>
        <v>#DIV/0!</v>
      </c>
      <c r="V161" s="142">
        <v>159</v>
      </c>
      <c r="W161" s="139">
        <f>IF('kustannus-hyötyarviot'!$D$30-'kustannus-hyötyarviot'!$H$14&lt;0,1,'kustannus-hyötyarviot'!$D$30-'kustannus-hyötyarviot'!$H$14)</f>
        <v>0</v>
      </c>
      <c r="X161" s="141" t="e">
        <f>IF(W161=1,-1,IRR($W$2:W161))</f>
        <v>#NUM!</v>
      </c>
    </row>
    <row r="162" spans="16:24" x14ac:dyDescent="0.25">
      <c r="P162" s="142">
        <v>160</v>
      </c>
      <c r="Q162" s="139">
        <f>IF('kustannus-hyötyarviot'!$D$26-'kustannus-hyötyarviot'!$H$14&lt;0,1,'kustannus-hyötyarviot'!$D$26-'kustannus-hyötyarviot'!$H$14)</f>
        <v>0</v>
      </c>
      <c r="R162" s="141" t="e">
        <f>IF(Q162=1,-1,IRR(Q$2:$Q162))</f>
        <v>#NUM!</v>
      </c>
      <c r="S162" s="142">
        <v>160</v>
      </c>
      <c r="T162" s="139">
        <f>IF('kustannus-hyötyarviot'!$H$28-'kustannus-hyötyarviot'!$H$14&lt;0,1,'kustannus-hyötyarviot'!$H$28-'kustannus-hyötyarviot'!$H$14)</f>
        <v>210000</v>
      </c>
      <c r="U162" s="141" t="e">
        <f>IF(T162=1,-1,IRR($T$2:T162))</f>
        <v>#DIV/0!</v>
      </c>
      <c r="V162" s="142">
        <v>160</v>
      </c>
      <c r="W162" s="139">
        <f>IF('kustannus-hyötyarviot'!$D$30-'kustannus-hyötyarviot'!$H$14&lt;0,1,'kustannus-hyötyarviot'!$D$30-'kustannus-hyötyarviot'!$H$14)</f>
        <v>0</v>
      </c>
      <c r="X162" s="141" t="e">
        <f>IF(W162=1,-1,IRR($W$2:W162))</f>
        <v>#NUM!</v>
      </c>
    </row>
    <row r="163" spans="16:24" x14ac:dyDescent="0.25">
      <c r="P163" s="142">
        <v>161</v>
      </c>
      <c r="Q163" s="139">
        <f>IF('kustannus-hyötyarviot'!$D$26-'kustannus-hyötyarviot'!$H$14&lt;0,1,'kustannus-hyötyarviot'!$D$26-'kustannus-hyötyarviot'!$H$14)</f>
        <v>0</v>
      </c>
      <c r="R163" s="141" t="e">
        <f>IF(Q163=1,-1,IRR(Q$2:$Q163))</f>
        <v>#NUM!</v>
      </c>
      <c r="S163" s="142">
        <v>161</v>
      </c>
      <c r="T163" s="139">
        <f>IF('kustannus-hyötyarviot'!$H$28-'kustannus-hyötyarviot'!$H$14&lt;0,1,'kustannus-hyötyarviot'!$H$28-'kustannus-hyötyarviot'!$H$14)</f>
        <v>210000</v>
      </c>
      <c r="U163" s="141" t="e">
        <f>IF(T163=1,-1,IRR($T$2:T163))</f>
        <v>#DIV/0!</v>
      </c>
      <c r="V163" s="142">
        <v>161</v>
      </c>
      <c r="W163" s="139">
        <f>IF('kustannus-hyötyarviot'!$D$30-'kustannus-hyötyarviot'!$H$14&lt;0,1,'kustannus-hyötyarviot'!$D$30-'kustannus-hyötyarviot'!$H$14)</f>
        <v>0</v>
      </c>
      <c r="X163" s="141" t="e">
        <f>IF(W163=1,-1,IRR($W$2:W163))</f>
        <v>#NUM!</v>
      </c>
    </row>
    <row r="164" spans="16:24" x14ac:dyDescent="0.25">
      <c r="P164" s="142">
        <v>162</v>
      </c>
      <c r="Q164" s="139">
        <f>IF('kustannus-hyötyarviot'!$D$26-'kustannus-hyötyarviot'!$H$14&lt;0,1,'kustannus-hyötyarviot'!$D$26-'kustannus-hyötyarviot'!$H$14)</f>
        <v>0</v>
      </c>
      <c r="R164" s="141" t="e">
        <f>IF(Q164=1,-1,IRR(Q$2:$Q164))</f>
        <v>#NUM!</v>
      </c>
      <c r="S164" s="142">
        <v>162</v>
      </c>
      <c r="T164" s="139">
        <f>IF('kustannus-hyötyarviot'!$H$28-'kustannus-hyötyarviot'!$H$14&lt;0,1,'kustannus-hyötyarviot'!$H$28-'kustannus-hyötyarviot'!$H$14)</f>
        <v>210000</v>
      </c>
      <c r="U164" s="141" t="e">
        <f>IF(T164=1,-1,IRR($T$2:T164))</f>
        <v>#DIV/0!</v>
      </c>
      <c r="V164" s="142">
        <v>162</v>
      </c>
      <c r="W164" s="139">
        <f>IF('kustannus-hyötyarviot'!$D$30-'kustannus-hyötyarviot'!$H$14&lt;0,1,'kustannus-hyötyarviot'!$D$30-'kustannus-hyötyarviot'!$H$14)</f>
        <v>0</v>
      </c>
      <c r="X164" s="141" t="e">
        <f>IF(W164=1,-1,IRR($W$2:W164))</f>
        <v>#NUM!</v>
      </c>
    </row>
    <row r="165" spans="16:24" x14ac:dyDescent="0.25">
      <c r="P165" s="142">
        <v>163</v>
      </c>
      <c r="Q165" s="139">
        <f>IF('kustannus-hyötyarviot'!$D$26-'kustannus-hyötyarviot'!$H$14&lt;0,1,'kustannus-hyötyarviot'!$D$26-'kustannus-hyötyarviot'!$H$14)</f>
        <v>0</v>
      </c>
      <c r="R165" s="141" t="e">
        <f>IF(Q165=1,-1,IRR(Q$2:$Q165))</f>
        <v>#NUM!</v>
      </c>
      <c r="S165" s="142">
        <v>163</v>
      </c>
      <c r="T165" s="139">
        <f>IF('kustannus-hyötyarviot'!$H$28-'kustannus-hyötyarviot'!$H$14&lt;0,1,'kustannus-hyötyarviot'!$H$28-'kustannus-hyötyarviot'!$H$14)</f>
        <v>210000</v>
      </c>
      <c r="U165" s="141" t="e">
        <f>IF(T165=1,-1,IRR($T$2:T165))</f>
        <v>#DIV/0!</v>
      </c>
      <c r="V165" s="142">
        <v>163</v>
      </c>
      <c r="W165" s="139">
        <f>IF('kustannus-hyötyarviot'!$D$30-'kustannus-hyötyarviot'!$H$14&lt;0,1,'kustannus-hyötyarviot'!$D$30-'kustannus-hyötyarviot'!$H$14)</f>
        <v>0</v>
      </c>
      <c r="X165" s="141" t="e">
        <f>IF(W165=1,-1,IRR($W$2:W165))</f>
        <v>#NUM!</v>
      </c>
    </row>
    <row r="166" spans="16:24" x14ac:dyDescent="0.25">
      <c r="P166" s="142">
        <v>164</v>
      </c>
      <c r="Q166" s="139">
        <f>IF('kustannus-hyötyarviot'!$D$26-'kustannus-hyötyarviot'!$H$14&lt;0,1,'kustannus-hyötyarviot'!$D$26-'kustannus-hyötyarviot'!$H$14)</f>
        <v>0</v>
      </c>
      <c r="R166" s="141" t="e">
        <f>IF(Q166=1,-1,IRR(Q$2:$Q166))</f>
        <v>#NUM!</v>
      </c>
      <c r="S166" s="142">
        <v>164</v>
      </c>
      <c r="T166" s="139">
        <f>IF('kustannus-hyötyarviot'!$H$28-'kustannus-hyötyarviot'!$H$14&lt;0,1,'kustannus-hyötyarviot'!$H$28-'kustannus-hyötyarviot'!$H$14)</f>
        <v>210000</v>
      </c>
      <c r="U166" s="141" t="e">
        <f>IF(T166=1,-1,IRR($T$2:T166))</f>
        <v>#DIV/0!</v>
      </c>
      <c r="V166" s="142">
        <v>164</v>
      </c>
      <c r="W166" s="139">
        <f>IF('kustannus-hyötyarviot'!$D$30-'kustannus-hyötyarviot'!$H$14&lt;0,1,'kustannus-hyötyarviot'!$D$30-'kustannus-hyötyarviot'!$H$14)</f>
        <v>0</v>
      </c>
      <c r="X166" s="141" t="e">
        <f>IF(W166=1,-1,IRR($W$2:W166))</f>
        <v>#NUM!</v>
      </c>
    </row>
    <row r="167" spans="16:24" x14ac:dyDescent="0.25">
      <c r="P167" s="142">
        <v>165</v>
      </c>
      <c r="Q167" s="139">
        <f>IF('kustannus-hyötyarviot'!$D$26-'kustannus-hyötyarviot'!$H$14&lt;0,1,'kustannus-hyötyarviot'!$D$26-'kustannus-hyötyarviot'!$H$14)</f>
        <v>0</v>
      </c>
      <c r="R167" s="141" t="e">
        <f>IF(Q167=1,-1,IRR(Q$2:$Q167))</f>
        <v>#NUM!</v>
      </c>
      <c r="S167" s="142">
        <v>165</v>
      </c>
      <c r="T167" s="139">
        <f>IF('kustannus-hyötyarviot'!$H$28-'kustannus-hyötyarviot'!$H$14&lt;0,1,'kustannus-hyötyarviot'!$H$28-'kustannus-hyötyarviot'!$H$14)</f>
        <v>210000</v>
      </c>
      <c r="U167" s="141" t="e">
        <f>IF(T167=1,-1,IRR($T$2:T167))</f>
        <v>#DIV/0!</v>
      </c>
      <c r="V167" s="142">
        <v>165</v>
      </c>
      <c r="W167" s="139">
        <f>IF('kustannus-hyötyarviot'!$D$30-'kustannus-hyötyarviot'!$H$14&lt;0,1,'kustannus-hyötyarviot'!$D$30-'kustannus-hyötyarviot'!$H$14)</f>
        <v>0</v>
      </c>
      <c r="X167" s="141" t="e">
        <f>IF(W167=1,-1,IRR($W$2:W167))</f>
        <v>#NUM!</v>
      </c>
    </row>
    <row r="168" spans="16:24" x14ac:dyDescent="0.25">
      <c r="P168" s="142">
        <v>166</v>
      </c>
      <c r="Q168" s="139">
        <f>IF('kustannus-hyötyarviot'!$D$26-'kustannus-hyötyarviot'!$H$14&lt;0,1,'kustannus-hyötyarviot'!$D$26-'kustannus-hyötyarviot'!$H$14)</f>
        <v>0</v>
      </c>
      <c r="R168" s="141" t="e">
        <f>IF(Q168=1,-1,IRR(Q$2:$Q168))</f>
        <v>#NUM!</v>
      </c>
      <c r="S168" s="142">
        <v>166</v>
      </c>
      <c r="T168" s="139">
        <f>IF('kustannus-hyötyarviot'!$H$28-'kustannus-hyötyarviot'!$H$14&lt;0,1,'kustannus-hyötyarviot'!$H$28-'kustannus-hyötyarviot'!$H$14)</f>
        <v>210000</v>
      </c>
      <c r="U168" s="141" t="e">
        <f>IF(T168=1,-1,IRR($T$2:T168))</f>
        <v>#DIV/0!</v>
      </c>
      <c r="V168" s="142">
        <v>166</v>
      </c>
      <c r="W168" s="139">
        <f>IF('kustannus-hyötyarviot'!$D$30-'kustannus-hyötyarviot'!$H$14&lt;0,1,'kustannus-hyötyarviot'!$D$30-'kustannus-hyötyarviot'!$H$14)</f>
        <v>0</v>
      </c>
      <c r="X168" s="141" t="e">
        <f>IF(W168=1,-1,IRR($W$2:W168))</f>
        <v>#NUM!</v>
      </c>
    </row>
    <row r="169" spans="16:24" x14ac:dyDescent="0.25">
      <c r="P169" s="142">
        <v>167</v>
      </c>
      <c r="Q169" s="139">
        <f>IF('kustannus-hyötyarviot'!$D$26-'kustannus-hyötyarviot'!$H$14&lt;0,1,'kustannus-hyötyarviot'!$D$26-'kustannus-hyötyarviot'!$H$14)</f>
        <v>0</v>
      </c>
      <c r="R169" s="141" t="e">
        <f>IF(Q169=1,-1,IRR(Q$2:$Q169))</f>
        <v>#NUM!</v>
      </c>
      <c r="S169" s="142">
        <v>167</v>
      </c>
      <c r="T169" s="139">
        <f>IF('kustannus-hyötyarviot'!$H$28-'kustannus-hyötyarviot'!$H$14&lt;0,1,'kustannus-hyötyarviot'!$H$28-'kustannus-hyötyarviot'!$H$14)</f>
        <v>210000</v>
      </c>
      <c r="U169" s="141" t="e">
        <f>IF(T169=1,-1,IRR($T$2:T169))</f>
        <v>#DIV/0!</v>
      </c>
      <c r="V169" s="142">
        <v>167</v>
      </c>
      <c r="W169" s="139">
        <f>IF('kustannus-hyötyarviot'!$D$30-'kustannus-hyötyarviot'!$H$14&lt;0,1,'kustannus-hyötyarviot'!$D$30-'kustannus-hyötyarviot'!$H$14)</f>
        <v>0</v>
      </c>
      <c r="X169" s="141" t="e">
        <f>IF(W169=1,-1,IRR($W$2:W169))</f>
        <v>#NUM!</v>
      </c>
    </row>
    <row r="170" spans="16:24" x14ac:dyDescent="0.25">
      <c r="P170" s="142">
        <v>168</v>
      </c>
      <c r="Q170" s="139">
        <f>IF('kustannus-hyötyarviot'!$D$26-'kustannus-hyötyarviot'!$H$14&lt;0,1,'kustannus-hyötyarviot'!$D$26-'kustannus-hyötyarviot'!$H$14)</f>
        <v>0</v>
      </c>
      <c r="R170" s="141" t="e">
        <f>IF(Q170=1,-1,IRR(Q$2:$Q170))</f>
        <v>#NUM!</v>
      </c>
      <c r="S170" s="142">
        <v>168</v>
      </c>
      <c r="T170" s="139">
        <f>IF('kustannus-hyötyarviot'!$H$28-'kustannus-hyötyarviot'!$H$14&lt;0,1,'kustannus-hyötyarviot'!$H$28-'kustannus-hyötyarviot'!$H$14)</f>
        <v>210000</v>
      </c>
      <c r="U170" s="141" t="e">
        <f>IF(T170=1,-1,IRR($T$2:T170))</f>
        <v>#DIV/0!</v>
      </c>
      <c r="V170" s="142">
        <v>168</v>
      </c>
      <c r="W170" s="139">
        <f>IF('kustannus-hyötyarviot'!$D$30-'kustannus-hyötyarviot'!$H$14&lt;0,1,'kustannus-hyötyarviot'!$D$30-'kustannus-hyötyarviot'!$H$14)</f>
        <v>0</v>
      </c>
      <c r="X170" s="141" t="e">
        <f>IF(W170=1,-1,IRR($W$2:W170))</f>
        <v>#NUM!</v>
      </c>
    </row>
    <row r="171" spans="16:24" x14ac:dyDescent="0.25">
      <c r="P171" s="142">
        <v>169</v>
      </c>
      <c r="Q171" s="139">
        <f>IF('kustannus-hyötyarviot'!$D$26-'kustannus-hyötyarviot'!$H$14&lt;0,1,'kustannus-hyötyarviot'!$D$26-'kustannus-hyötyarviot'!$H$14)</f>
        <v>0</v>
      </c>
      <c r="R171" s="141" t="e">
        <f>IF(Q171=1,-1,IRR(Q$2:$Q171))</f>
        <v>#NUM!</v>
      </c>
      <c r="S171" s="142">
        <v>169</v>
      </c>
      <c r="T171" s="139">
        <f>IF('kustannus-hyötyarviot'!$H$28-'kustannus-hyötyarviot'!$H$14&lt;0,1,'kustannus-hyötyarviot'!$H$28-'kustannus-hyötyarviot'!$H$14)</f>
        <v>210000</v>
      </c>
      <c r="U171" s="141" t="e">
        <f>IF(T171=1,-1,IRR($T$2:T171))</f>
        <v>#DIV/0!</v>
      </c>
      <c r="V171" s="142">
        <v>169</v>
      </c>
      <c r="W171" s="139">
        <f>IF('kustannus-hyötyarviot'!$D$30-'kustannus-hyötyarviot'!$H$14&lt;0,1,'kustannus-hyötyarviot'!$D$30-'kustannus-hyötyarviot'!$H$14)</f>
        <v>0</v>
      </c>
      <c r="X171" s="141" t="e">
        <f>IF(W171=1,-1,IRR($W$2:W171))</f>
        <v>#NUM!</v>
      </c>
    </row>
    <row r="172" spans="16:24" x14ac:dyDescent="0.25">
      <c r="P172" s="142">
        <v>170</v>
      </c>
      <c r="Q172" s="139">
        <f>IF('kustannus-hyötyarviot'!$D$26-'kustannus-hyötyarviot'!$H$14&lt;0,1,'kustannus-hyötyarviot'!$D$26-'kustannus-hyötyarviot'!$H$14)</f>
        <v>0</v>
      </c>
      <c r="R172" s="141" t="e">
        <f>IF(Q172=1,-1,IRR(Q$2:$Q172))</f>
        <v>#NUM!</v>
      </c>
      <c r="S172" s="142">
        <v>170</v>
      </c>
      <c r="T172" s="139">
        <f>IF('kustannus-hyötyarviot'!$H$28-'kustannus-hyötyarviot'!$H$14&lt;0,1,'kustannus-hyötyarviot'!$H$28-'kustannus-hyötyarviot'!$H$14)</f>
        <v>210000</v>
      </c>
      <c r="U172" s="141" t="e">
        <f>IF(T172=1,-1,IRR($T$2:T172))</f>
        <v>#DIV/0!</v>
      </c>
      <c r="V172" s="142">
        <v>170</v>
      </c>
      <c r="W172" s="139">
        <f>IF('kustannus-hyötyarviot'!$D$30-'kustannus-hyötyarviot'!$H$14&lt;0,1,'kustannus-hyötyarviot'!$D$30-'kustannus-hyötyarviot'!$H$14)</f>
        <v>0</v>
      </c>
      <c r="X172" s="141" t="e">
        <f>IF(W172=1,-1,IRR($W$2:W172))</f>
        <v>#NUM!</v>
      </c>
    </row>
    <row r="173" spans="16:24" x14ac:dyDescent="0.25">
      <c r="P173" s="142">
        <v>171</v>
      </c>
      <c r="Q173" s="139">
        <f>IF('kustannus-hyötyarviot'!$D$26-'kustannus-hyötyarviot'!$H$14&lt;0,1,'kustannus-hyötyarviot'!$D$26-'kustannus-hyötyarviot'!$H$14)</f>
        <v>0</v>
      </c>
      <c r="R173" s="141" t="e">
        <f>IF(Q173=1,-1,IRR(Q$2:$Q173))</f>
        <v>#NUM!</v>
      </c>
      <c r="S173" s="142">
        <v>171</v>
      </c>
      <c r="T173" s="139">
        <f>IF('kustannus-hyötyarviot'!$H$28-'kustannus-hyötyarviot'!$H$14&lt;0,1,'kustannus-hyötyarviot'!$H$28-'kustannus-hyötyarviot'!$H$14)</f>
        <v>210000</v>
      </c>
      <c r="U173" s="141" t="e">
        <f>IF(T173=1,-1,IRR($T$2:T173))</f>
        <v>#DIV/0!</v>
      </c>
      <c r="V173" s="142">
        <v>171</v>
      </c>
      <c r="W173" s="139">
        <f>IF('kustannus-hyötyarviot'!$D$30-'kustannus-hyötyarviot'!$H$14&lt;0,1,'kustannus-hyötyarviot'!$D$30-'kustannus-hyötyarviot'!$H$14)</f>
        <v>0</v>
      </c>
      <c r="X173" s="141" t="e">
        <f>IF(W173=1,-1,IRR($W$2:W173))</f>
        <v>#NUM!</v>
      </c>
    </row>
    <row r="174" spans="16:24" x14ac:dyDescent="0.25">
      <c r="P174" s="142">
        <v>172</v>
      </c>
      <c r="Q174" s="139">
        <f>IF('kustannus-hyötyarviot'!$D$26-'kustannus-hyötyarviot'!$H$14&lt;0,1,'kustannus-hyötyarviot'!$D$26-'kustannus-hyötyarviot'!$H$14)</f>
        <v>0</v>
      </c>
      <c r="R174" s="141" t="e">
        <f>IF(Q174=1,-1,IRR(Q$2:$Q174))</f>
        <v>#NUM!</v>
      </c>
      <c r="S174" s="142">
        <v>172</v>
      </c>
      <c r="T174" s="139">
        <f>IF('kustannus-hyötyarviot'!$H$28-'kustannus-hyötyarviot'!$H$14&lt;0,1,'kustannus-hyötyarviot'!$H$28-'kustannus-hyötyarviot'!$H$14)</f>
        <v>210000</v>
      </c>
      <c r="U174" s="141" t="e">
        <f>IF(T174=1,-1,IRR($T$2:T174))</f>
        <v>#DIV/0!</v>
      </c>
      <c r="V174" s="142">
        <v>172</v>
      </c>
      <c r="W174" s="139">
        <f>IF('kustannus-hyötyarviot'!$D$30-'kustannus-hyötyarviot'!$H$14&lt;0,1,'kustannus-hyötyarviot'!$D$30-'kustannus-hyötyarviot'!$H$14)</f>
        <v>0</v>
      </c>
      <c r="X174" s="141" t="e">
        <f>IF(W174=1,-1,IRR($W$2:W174))</f>
        <v>#NUM!</v>
      </c>
    </row>
    <row r="175" spans="16:24" x14ac:dyDescent="0.25">
      <c r="P175" s="142">
        <v>173</v>
      </c>
      <c r="Q175" s="139">
        <f>IF('kustannus-hyötyarviot'!$D$26-'kustannus-hyötyarviot'!$H$14&lt;0,1,'kustannus-hyötyarviot'!$D$26-'kustannus-hyötyarviot'!$H$14)</f>
        <v>0</v>
      </c>
      <c r="R175" s="141" t="e">
        <f>IF(Q175=1,-1,IRR(Q$2:$Q175))</f>
        <v>#NUM!</v>
      </c>
      <c r="S175" s="142">
        <v>173</v>
      </c>
      <c r="T175" s="139">
        <f>IF('kustannus-hyötyarviot'!$H$28-'kustannus-hyötyarviot'!$H$14&lt;0,1,'kustannus-hyötyarviot'!$H$28-'kustannus-hyötyarviot'!$H$14)</f>
        <v>210000</v>
      </c>
      <c r="U175" s="141" t="e">
        <f>IF(T175=1,-1,IRR($T$2:T175))</f>
        <v>#DIV/0!</v>
      </c>
      <c r="V175" s="142">
        <v>173</v>
      </c>
      <c r="W175" s="139">
        <f>IF('kustannus-hyötyarviot'!$D$30-'kustannus-hyötyarviot'!$H$14&lt;0,1,'kustannus-hyötyarviot'!$D$30-'kustannus-hyötyarviot'!$H$14)</f>
        <v>0</v>
      </c>
      <c r="X175" s="141" t="e">
        <f>IF(W175=1,-1,IRR($W$2:W175))</f>
        <v>#NUM!</v>
      </c>
    </row>
    <row r="176" spans="16:24" x14ac:dyDescent="0.25">
      <c r="P176" s="142">
        <v>174</v>
      </c>
      <c r="Q176" s="139">
        <f>IF('kustannus-hyötyarviot'!$D$26-'kustannus-hyötyarviot'!$H$14&lt;0,1,'kustannus-hyötyarviot'!$D$26-'kustannus-hyötyarviot'!$H$14)</f>
        <v>0</v>
      </c>
      <c r="R176" s="141" t="e">
        <f>IF(Q176=1,-1,IRR(Q$2:$Q176))</f>
        <v>#NUM!</v>
      </c>
      <c r="S176" s="142">
        <v>174</v>
      </c>
      <c r="T176" s="139">
        <f>IF('kustannus-hyötyarviot'!$H$28-'kustannus-hyötyarviot'!$H$14&lt;0,1,'kustannus-hyötyarviot'!$H$28-'kustannus-hyötyarviot'!$H$14)</f>
        <v>210000</v>
      </c>
      <c r="U176" s="141" t="e">
        <f>IF(T176=1,-1,IRR($T$2:T176))</f>
        <v>#DIV/0!</v>
      </c>
      <c r="V176" s="142">
        <v>174</v>
      </c>
      <c r="W176" s="139">
        <f>IF('kustannus-hyötyarviot'!$D$30-'kustannus-hyötyarviot'!$H$14&lt;0,1,'kustannus-hyötyarviot'!$D$30-'kustannus-hyötyarviot'!$H$14)</f>
        <v>0</v>
      </c>
      <c r="X176" s="141" t="e">
        <f>IF(W176=1,-1,IRR($W$2:W176))</f>
        <v>#NUM!</v>
      </c>
    </row>
    <row r="177" spans="16:24" x14ac:dyDescent="0.25">
      <c r="P177" s="142">
        <v>175</v>
      </c>
      <c r="Q177" s="139">
        <f>IF('kustannus-hyötyarviot'!$D$26-'kustannus-hyötyarviot'!$H$14&lt;0,1,'kustannus-hyötyarviot'!$D$26-'kustannus-hyötyarviot'!$H$14)</f>
        <v>0</v>
      </c>
      <c r="R177" s="141" t="e">
        <f>IF(Q177=1,-1,IRR(Q$2:$Q177))</f>
        <v>#NUM!</v>
      </c>
      <c r="S177" s="142">
        <v>175</v>
      </c>
      <c r="T177" s="139">
        <f>IF('kustannus-hyötyarviot'!$H$28-'kustannus-hyötyarviot'!$H$14&lt;0,1,'kustannus-hyötyarviot'!$H$28-'kustannus-hyötyarviot'!$H$14)</f>
        <v>210000</v>
      </c>
      <c r="U177" s="141" t="e">
        <f>IF(T177=1,-1,IRR($T$2:T177))</f>
        <v>#DIV/0!</v>
      </c>
      <c r="V177" s="142">
        <v>175</v>
      </c>
      <c r="W177" s="139">
        <f>IF('kustannus-hyötyarviot'!$D$30-'kustannus-hyötyarviot'!$H$14&lt;0,1,'kustannus-hyötyarviot'!$D$30-'kustannus-hyötyarviot'!$H$14)</f>
        <v>0</v>
      </c>
      <c r="X177" s="141" t="e">
        <f>IF(W177=1,-1,IRR($W$2:W177))</f>
        <v>#NUM!</v>
      </c>
    </row>
    <row r="178" spans="16:24" x14ac:dyDescent="0.25">
      <c r="P178" s="142">
        <v>176</v>
      </c>
      <c r="Q178" s="139">
        <f>IF('kustannus-hyötyarviot'!$D$26-'kustannus-hyötyarviot'!$H$14&lt;0,1,'kustannus-hyötyarviot'!$D$26-'kustannus-hyötyarviot'!$H$14)</f>
        <v>0</v>
      </c>
      <c r="R178" s="141" t="e">
        <f>IF(Q178=1,-1,IRR(Q$2:$Q178))</f>
        <v>#NUM!</v>
      </c>
      <c r="S178" s="142">
        <v>176</v>
      </c>
      <c r="T178" s="139">
        <f>IF('kustannus-hyötyarviot'!$H$28-'kustannus-hyötyarviot'!$H$14&lt;0,1,'kustannus-hyötyarviot'!$H$28-'kustannus-hyötyarviot'!$H$14)</f>
        <v>210000</v>
      </c>
      <c r="U178" s="141" t="e">
        <f>IF(T178=1,-1,IRR($T$2:T178))</f>
        <v>#DIV/0!</v>
      </c>
      <c r="V178" s="142">
        <v>176</v>
      </c>
      <c r="W178" s="139">
        <f>IF('kustannus-hyötyarviot'!$D$30-'kustannus-hyötyarviot'!$H$14&lt;0,1,'kustannus-hyötyarviot'!$D$30-'kustannus-hyötyarviot'!$H$14)</f>
        <v>0</v>
      </c>
      <c r="X178" s="141" t="e">
        <f>IF(W178=1,-1,IRR($W$2:W178))</f>
        <v>#NUM!</v>
      </c>
    </row>
    <row r="179" spans="16:24" x14ac:dyDescent="0.25">
      <c r="P179" s="142">
        <v>177</v>
      </c>
      <c r="Q179" s="139">
        <f>IF('kustannus-hyötyarviot'!$D$26-'kustannus-hyötyarviot'!$H$14&lt;0,1,'kustannus-hyötyarviot'!$D$26-'kustannus-hyötyarviot'!$H$14)</f>
        <v>0</v>
      </c>
      <c r="R179" s="141" t="e">
        <f>IF(Q179=1,-1,IRR(Q$2:$Q179))</f>
        <v>#NUM!</v>
      </c>
      <c r="S179" s="142">
        <v>177</v>
      </c>
      <c r="T179" s="139">
        <f>IF('kustannus-hyötyarviot'!$H$28-'kustannus-hyötyarviot'!$H$14&lt;0,1,'kustannus-hyötyarviot'!$H$28-'kustannus-hyötyarviot'!$H$14)</f>
        <v>210000</v>
      </c>
      <c r="U179" s="141" t="e">
        <f>IF(T179=1,-1,IRR($T$2:T179))</f>
        <v>#DIV/0!</v>
      </c>
      <c r="V179" s="142">
        <v>177</v>
      </c>
      <c r="W179" s="139">
        <f>IF('kustannus-hyötyarviot'!$D$30-'kustannus-hyötyarviot'!$H$14&lt;0,1,'kustannus-hyötyarviot'!$D$30-'kustannus-hyötyarviot'!$H$14)</f>
        <v>0</v>
      </c>
      <c r="X179" s="141" t="e">
        <f>IF(W179=1,-1,IRR($W$2:W179))</f>
        <v>#NUM!</v>
      </c>
    </row>
    <row r="180" spans="16:24" x14ac:dyDescent="0.25">
      <c r="P180" s="142">
        <v>178</v>
      </c>
      <c r="Q180" s="139">
        <f>IF('kustannus-hyötyarviot'!$D$26-'kustannus-hyötyarviot'!$H$14&lt;0,1,'kustannus-hyötyarviot'!$D$26-'kustannus-hyötyarviot'!$H$14)</f>
        <v>0</v>
      </c>
      <c r="R180" s="141" t="e">
        <f>IF(Q180=1,-1,IRR(Q$2:$Q180))</f>
        <v>#NUM!</v>
      </c>
      <c r="S180" s="142">
        <v>178</v>
      </c>
      <c r="T180" s="139">
        <f>IF('kustannus-hyötyarviot'!$H$28-'kustannus-hyötyarviot'!$H$14&lt;0,1,'kustannus-hyötyarviot'!$H$28-'kustannus-hyötyarviot'!$H$14)</f>
        <v>210000</v>
      </c>
      <c r="U180" s="141" t="e">
        <f>IF(T180=1,-1,IRR($T$2:T180))</f>
        <v>#DIV/0!</v>
      </c>
      <c r="V180" s="142">
        <v>178</v>
      </c>
      <c r="W180" s="139">
        <f>IF('kustannus-hyötyarviot'!$D$30-'kustannus-hyötyarviot'!$H$14&lt;0,1,'kustannus-hyötyarviot'!$D$30-'kustannus-hyötyarviot'!$H$14)</f>
        <v>0</v>
      </c>
      <c r="X180" s="141" t="e">
        <f>IF(W180=1,-1,IRR($W$2:W180))</f>
        <v>#NUM!</v>
      </c>
    </row>
    <row r="181" spans="16:24" x14ac:dyDescent="0.25">
      <c r="P181" s="142">
        <v>179</v>
      </c>
      <c r="Q181" s="139">
        <f>IF('kustannus-hyötyarviot'!$D$26-'kustannus-hyötyarviot'!$H$14&lt;0,1,'kustannus-hyötyarviot'!$D$26-'kustannus-hyötyarviot'!$H$14)</f>
        <v>0</v>
      </c>
      <c r="R181" s="141" t="e">
        <f>IF(Q181=1,-1,IRR(Q$2:$Q181))</f>
        <v>#NUM!</v>
      </c>
      <c r="S181" s="142">
        <v>179</v>
      </c>
      <c r="T181" s="139">
        <f>IF('kustannus-hyötyarviot'!$H$28-'kustannus-hyötyarviot'!$H$14&lt;0,1,'kustannus-hyötyarviot'!$H$28-'kustannus-hyötyarviot'!$H$14)</f>
        <v>210000</v>
      </c>
      <c r="U181" s="141" t="e">
        <f>IF(T181=1,-1,IRR($T$2:T181))</f>
        <v>#DIV/0!</v>
      </c>
      <c r="V181" s="142">
        <v>179</v>
      </c>
      <c r="W181" s="139">
        <f>IF('kustannus-hyötyarviot'!$D$30-'kustannus-hyötyarviot'!$H$14&lt;0,1,'kustannus-hyötyarviot'!$D$30-'kustannus-hyötyarviot'!$H$14)</f>
        <v>0</v>
      </c>
      <c r="X181" s="141" t="e">
        <f>IF(W181=1,-1,IRR($W$2:W181))</f>
        <v>#NUM!</v>
      </c>
    </row>
    <row r="182" spans="16:24" x14ac:dyDescent="0.25">
      <c r="P182" s="142">
        <v>180</v>
      </c>
      <c r="Q182" s="139">
        <f>IF('kustannus-hyötyarviot'!$D$26-'kustannus-hyötyarviot'!$H$14&lt;0,1,'kustannus-hyötyarviot'!$D$26-'kustannus-hyötyarviot'!$H$14)</f>
        <v>0</v>
      </c>
      <c r="R182" s="141" t="e">
        <f>IF(Q182=1,-1,IRR(Q$2:$Q182))</f>
        <v>#NUM!</v>
      </c>
      <c r="S182" s="142">
        <v>180</v>
      </c>
      <c r="T182" s="139">
        <f>IF('kustannus-hyötyarviot'!$H$28-'kustannus-hyötyarviot'!$H$14&lt;0,1,'kustannus-hyötyarviot'!$H$28-'kustannus-hyötyarviot'!$H$14)</f>
        <v>210000</v>
      </c>
      <c r="U182" s="141" t="e">
        <f>IF(T182=1,-1,IRR($T$2:T182))</f>
        <v>#DIV/0!</v>
      </c>
      <c r="V182" s="142">
        <v>180</v>
      </c>
      <c r="W182" s="139">
        <f>IF('kustannus-hyötyarviot'!$D$30-'kustannus-hyötyarviot'!$H$14&lt;0,1,'kustannus-hyötyarviot'!$D$30-'kustannus-hyötyarviot'!$H$14)</f>
        <v>0</v>
      </c>
      <c r="X182" s="141" t="e">
        <f>IF(W182=1,-1,IRR($W$2:W182))</f>
        <v>#NUM!</v>
      </c>
    </row>
    <row r="183" spans="16:24" x14ac:dyDescent="0.25">
      <c r="P183" s="142">
        <v>181</v>
      </c>
      <c r="Q183" s="139">
        <f>IF('kustannus-hyötyarviot'!$D$26-'kustannus-hyötyarviot'!$H$14&lt;0,1,'kustannus-hyötyarviot'!$D$26-'kustannus-hyötyarviot'!$H$14)</f>
        <v>0</v>
      </c>
      <c r="R183" s="141" t="e">
        <f>IF(Q183=1,-1,IRR(Q$2:$Q183))</f>
        <v>#NUM!</v>
      </c>
      <c r="S183" s="142">
        <v>181</v>
      </c>
      <c r="T183" s="139">
        <f>IF('kustannus-hyötyarviot'!$H$28-'kustannus-hyötyarviot'!$H$14&lt;0,1,'kustannus-hyötyarviot'!$H$28-'kustannus-hyötyarviot'!$H$14)</f>
        <v>210000</v>
      </c>
      <c r="U183" s="141" t="e">
        <f>IF(T183=1,-1,IRR($T$2:T183))</f>
        <v>#DIV/0!</v>
      </c>
      <c r="V183" s="142">
        <v>181</v>
      </c>
      <c r="W183" s="139">
        <f>IF('kustannus-hyötyarviot'!$D$30-'kustannus-hyötyarviot'!$H$14&lt;0,1,'kustannus-hyötyarviot'!$D$30-'kustannus-hyötyarviot'!$H$14)</f>
        <v>0</v>
      </c>
      <c r="X183" s="141" t="e">
        <f>IF(W183=1,-1,IRR($W$2:W183))</f>
        <v>#NUM!</v>
      </c>
    </row>
    <row r="184" spans="16:24" x14ac:dyDescent="0.25">
      <c r="P184" s="142">
        <v>182</v>
      </c>
      <c r="Q184" s="139">
        <f>IF('kustannus-hyötyarviot'!$D$26-'kustannus-hyötyarviot'!$H$14&lt;0,1,'kustannus-hyötyarviot'!$D$26-'kustannus-hyötyarviot'!$H$14)</f>
        <v>0</v>
      </c>
      <c r="R184" s="141" t="e">
        <f>IF(Q184=1,-1,IRR(Q$2:$Q184))</f>
        <v>#NUM!</v>
      </c>
      <c r="S184" s="142">
        <v>182</v>
      </c>
      <c r="T184" s="139">
        <f>IF('kustannus-hyötyarviot'!$H$28-'kustannus-hyötyarviot'!$H$14&lt;0,1,'kustannus-hyötyarviot'!$H$28-'kustannus-hyötyarviot'!$H$14)</f>
        <v>210000</v>
      </c>
      <c r="U184" s="141" t="e">
        <f>IF(T184=1,-1,IRR($T$2:T184))</f>
        <v>#DIV/0!</v>
      </c>
      <c r="V184" s="142">
        <v>182</v>
      </c>
      <c r="W184" s="139">
        <f>IF('kustannus-hyötyarviot'!$D$30-'kustannus-hyötyarviot'!$H$14&lt;0,1,'kustannus-hyötyarviot'!$D$30-'kustannus-hyötyarviot'!$H$14)</f>
        <v>0</v>
      </c>
      <c r="X184" s="141" t="e">
        <f>IF(W184=1,-1,IRR($W$2:W184))</f>
        <v>#NUM!</v>
      </c>
    </row>
    <row r="185" spans="16:24" x14ac:dyDescent="0.25">
      <c r="P185" s="142">
        <v>183</v>
      </c>
      <c r="Q185" s="139">
        <f>IF('kustannus-hyötyarviot'!$D$26-'kustannus-hyötyarviot'!$H$14&lt;0,1,'kustannus-hyötyarviot'!$D$26-'kustannus-hyötyarviot'!$H$14)</f>
        <v>0</v>
      </c>
      <c r="R185" s="141" t="e">
        <f>IF(Q185=1,-1,IRR(Q$2:$Q185))</f>
        <v>#NUM!</v>
      </c>
      <c r="S185" s="142">
        <v>183</v>
      </c>
      <c r="T185" s="139">
        <f>IF('kustannus-hyötyarviot'!$H$28-'kustannus-hyötyarviot'!$H$14&lt;0,1,'kustannus-hyötyarviot'!$H$28-'kustannus-hyötyarviot'!$H$14)</f>
        <v>210000</v>
      </c>
      <c r="U185" s="141" t="e">
        <f>IF(T185=1,-1,IRR($T$2:T185))</f>
        <v>#DIV/0!</v>
      </c>
      <c r="V185" s="142">
        <v>183</v>
      </c>
      <c r="W185" s="139">
        <f>IF('kustannus-hyötyarviot'!$D$30-'kustannus-hyötyarviot'!$H$14&lt;0,1,'kustannus-hyötyarviot'!$D$30-'kustannus-hyötyarviot'!$H$14)</f>
        <v>0</v>
      </c>
      <c r="X185" s="141" t="e">
        <f>IF(W185=1,-1,IRR($W$2:W185))</f>
        <v>#NUM!</v>
      </c>
    </row>
    <row r="186" spans="16:24" x14ac:dyDescent="0.25">
      <c r="P186" s="142">
        <v>184</v>
      </c>
      <c r="Q186" s="139">
        <f>IF('kustannus-hyötyarviot'!$D$26-'kustannus-hyötyarviot'!$H$14&lt;0,1,'kustannus-hyötyarviot'!$D$26-'kustannus-hyötyarviot'!$H$14)</f>
        <v>0</v>
      </c>
      <c r="R186" s="141" t="e">
        <f>IF(Q186=1,-1,IRR(Q$2:$Q186))</f>
        <v>#NUM!</v>
      </c>
      <c r="S186" s="142">
        <v>184</v>
      </c>
      <c r="T186" s="139">
        <f>IF('kustannus-hyötyarviot'!$H$28-'kustannus-hyötyarviot'!$H$14&lt;0,1,'kustannus-hyötyarviot'!$H$28-'kustannus-hyötyarviot'!$H$14)</f>
        <v>210000</v>
      </c>
      <c r="U186" s="141" t="e">
        <f>IF(T186=1,-1,IRR($T$2:T186))</f>
        <v>#DIV/0!</v>
      </c>
      <c r="V186" s="142">
        <v>184</v>
      </c>
      <c r="W186" s="139">
        <f>IF('kustannus-hyötyarviot'!$D$30-'kustannus-hyötyarviot'!$H$14&lt;0,1,'kustannus-hyötyarviot'!$D$30-'kustannus-hyötyarviot'!$H$14)</f>
        <v>0</v>
      </c>
      <c r="X186" s="141" t="e">
        <f>IF(W186=1,-1,IRR($W$2:W186))</f>
        <v>#NUM!</v>
      </c>
    </row>
    <row r="187" spans="16:24" x14ac:dyDescent="0.25">
      <c r="P187" s="142">
        <v>185</v>
      </c>
      <c r="Q187" s="139">
        <f>IF('kustannus-hyötyarviot'!$D$26-'kustannus-hyötyarviot'!$H$14&lt;0,1,'kustannus-hyötyarviot'!$D$26-'kustannus-hyötyarviot'!$H$14)</f>
        <v>0</v>
      </c>
      <c r="R187" s="141" t="e">
        <f>IF(Q187=1,-1,IRR(Q$2:$Q187))</f>
        <v>#NUM!</v>
      </c>
      <c r="S187" s="142">
        <v>185</v>
      </c>
      <c r="T187" s="139">
        <f>IF('kustannus-hyötyarviot'!$H$28-'kustannus-hyötyarviot'!$H$14&lt;0,1,'kustannus-hyötyarviot'!$H$28-'kustannus-hyötyarviot'!$H$14)</f>
        <v>210000</v>
      </c>
      <c r="U187" s="141" t="e">
        <f>IF(T187=1,-1,IRR($T$2:T187))</f>
        <v>#DIV/0!</v>
      </c>
      <c r="V187" s="142">
        <v>185</v>
      </c>
      <c r="W187" s="139">
        <f>IF('kustannus-hyötyarviot'!$D$30-'kustannus-hyötyarviot'!$H$14&lt;0,1,'kustannus-hyötyarviot'!$D$30-'kustannus-hyötyarviot'!$H$14)</f>
        <v>0</v>
      </c>
      <c r="X187" s="141" t="e">
        <f>IF(W187=1,-1,IRR($W$2:W187))</f>
        <v>#NUM!</v>
      </c>
    </row>
    <row r="188" spans="16:24" x14ac:dyDescent="0.25">
      <c r="P188" s="142">
        <v>186</v>
      </c>
      <c r="Q188" s="139">
        <f>IF('kustannus-hyötyarviot'!$D$26-'kustannus-hyötyarviot'!$H$14&lt;0,1,'kustannus-hyötyarviot'!$D$26-'kustannus-hyötyarviot'!$H$14)</f>
        <v>0</v>
      </c>
      <c r="R188" s="141" t="e">
        <f>IF(Q188=1,-1,IRR(Q$2:$Q188))</f>
        <v>#NUM!</v>
      </c>
      <c r="S188" s="142">
        <v>186</v>
      </c>
      <c r="T188" s="139">
        <f>IF('kustannus-hyötyarviot'!$H$28-'kustannus-hyötyarviot'!$H$14&lt;0,1,'kustannus-hyötyarviot'!$H$28-'kustannus-hyötyarviot'!$H$14)</f>
        <v>210000</v>
      </c>
      <c r="U188" s="141" t="e">
        <f>IF(T188=1,-1,IRR($T$2:T188))</f>
        <v>#DIV/0!</v>
      </c>
      <c r="V188" s="142">
        <v>186</v>
      </c>
      <c r="W188" s="139">
        <f>IF('kustannus-hyötyarviot'!$D$30-'kustannus-hyötyarviot'!$H$14&lt;0,1,'kustannus-hyötyarviot'!$D$30-'kustannus-hyötyarviot'!$H$14)</f>
        <v>0</v>
      </c>
      <c r="X188" s="141" t="e">
        <f>IF(W188=1,-1,IRR($W$2:W188))</f>
        <v>#NUM!</v>
      </c>
    </row>
    <row r="189" spans="16:24" x14ac:dyDescent="0.25">
      <c r="P189" s="142">
        <v>187</v>
      </c>
      <c r="Q189" s="139">
        <f>IF('kustannus-hyötyarviot'!$D$26-'kustannus-hyötyarviot'!$H$14&lt;0,1,'kustannus-hyötyarviot'!$D$26-'kustannus-hyötyarviot'!$H$14)</f>
        <v>0</v>
      </c>
      <c r="R189" s="141" t="e">
        <f>IF(Q189=1,-1,IRR(Q$2:$Q189))</f>
        <v>#NUM!</v>
      </c>
      <c r="S189" s="142">
        <v>187</v>
      </c>
      <c r="T189" s="139">
        <f>IF('kustannus-hyötyarviot'!$H$28-'kustannus-hyötyarviot'!$H$14&lt;0,1,'kustannus-hyötyarviot'!$H$28-'kustannus-hyötyarviot'!$H$14)</f>
        <v>210000</v>
      </c>
      <c r="U189" s="141" t="e">
        <f>IF(T189=1,-1,IRR($T$2:T189))</f>
        <v>#DIV/0!</v>
      </c>
      <c r="V189" s="142">
        <v>187</v>
      </c>
      <c r="W189" s="139">
        <f>IF('kustannus-hyötyarviot'!$D$30-'kustannus-hyötyarviot'!$H$14&lt;0,1,'kustannus-hyötyarviot'!$D$30-'kustannus-hyötyarviot'!$H$14)</f>
        <v>0</v>
      </c>
      <c r="X189" s="141" t="e">
        <f>IF(W189=1,-1,IRR($W$2:W189))</f>
        <v>#NUM!</v>
      </c>
    </row>
    <row r="190" spans="16:24" x14ac:dyDescent="0.25">
      <c r="P190" s="142">
        <v>188</v>
      </c>
      <c r="Q190" s="139">
        <f>IF('kustannus-hyötyarviot'!$D$26-'kustannus-hyötyarviot'!$H$14&lt;0,1,'kustannus-hyötyarviot'!$D$26-'kustannus-hyötyarviot'!$H$14)</f>
        <v>0</v>
      </c>
      <c r="R190" s="141" t="e">
        <f>IF(Q190=1,-1,IRR(Q$2:$Q190))</f>
        <v>#NUM!</v>
      </c>
      <c r="S190" s="142">
        <v>188</v>
      </c>
      <c r="T190" s="139">
        <f>IF('kustannus-hyötyarviot'!$H$28-'kustannus-hyötyarviot'!$H$14&lt;0,1,'kustannus-hyötyarviot'!$H$28-'kustannus-hyötyarviot'!$H$14)</f>
        <v>210000</v>
      </c>
      <c r="U190" s="141" t="e">
        <f>IF(T190=1,-1,IRR($T$2:T190))</f>
        <v>#DIV/0!</v>
      </c>
      <c r="V190" s="142">
        <v>188</v>
      </c>
      <c r="W190" s="139">
        <f>IF('kustannus-hyötyarviot'!$D$30-'kustannus-hyötyarviot'!$H$14&lt;0,1,'kustannus-hyötyarviot'!$D$30-'kustannus-hyötyarviot'!$H$14)</f>
        <v>0</v>
      </c>
      <c r="X190" s="141" t="e">
        <f>IF(W190=1,-1,IRR($W$2:W190))</f>
        <v>#NUM!</v>
      </c>
    </row>
    <row r="191" spans="16:24" x14ac:dyDescent="0.25">
      <c r="P191" s="142">
        <v>189</v>
      </c>
      <c r="Q191" s="139">
        <f>IF('kustannus-hyötyarviot'!$D$26-'kustannus-hyötyarviot'!$H$14&lt;0,1,'kustannus-hyötyarviot'!$D$26-'kustannus-hyötyarviot'!$H$14)</f>
        <v>0</v>
      </c>
      <c r="R191" s="141" t="e">
        <f>IF(Q191=1,-1,IRR(Q$2:$Q191))</f>
        <v>#NUM!</v>
      </c>
      <c r="S191" s="142">
        <v>189</v>
      </c>
      <c r="T191" s="139">
        <f>IF('kustannus-hyötyarviot'!$H$28-'kustannus-hyötyarviot'!$H$14&lt;0,1,'kustannus-hyötyarviot'!$H$28-'kustannus-hyötyarviot'!$H$14)</f>
        <v>210000</v>
      </c>
      <c r="U191" s="141" t="e">
        <f>IF(T191=1,-1,IRR($T$2:T191))</f>
        <v>#DIV/0!</v>
      </c>
      <c r="V191" s="142">
        <v>189</v>
      </c>
      <c r="W191" s="139">
        <f>IF('kustannus-hyötyarviot'!$D$30-'kustannus-hyötyarviot'!$H$14&lt;0,1,'kustannus-hyötyarviot'!$D$30-'kustannus-hyötyarviot'!$H$14)</f>
        <v>0</v>
      </c>
      <c r="X191" s="141" t="e">
        <f>IF(W191=1,-1,IRR($W$2:W191))</f>
        <v>#NUM!</v>
      </c>
    </row>
    <row r="192" spans="16:24" x14ac:dyDescent="0.25">
      <c r="P192" s="142">
        <v>190</v>
      </c>
      <c r="Q192" s="139">
        <f>IF('kustannus-hyötyarviot'!$D$26-'kustannus-hyötyarviot'!$H$14&lt;0,1,'kustannus-hyötyarviot'!$D$26-'kustannus-hyötyarviot'!$H$14)</f>
        <v>0</v>
      </c>
      <c r="R192" s="141" t="e">
        <f>IF(Q192=1,-1,IRR(Q$2:$Q192))</f>
        <v>#NUM!</v>
      </c>
      <c r="S192" s="142">
        <v>190</v>
      </c>
      <c r="T192" s="139">
        <f>IF('kustannus-hyötyarviot'!$H$28-'kustannus-hyötyarviot'!$H$14&lt;0,1,'kustannus-hyötyarviot'!$H$28-'kustannus-hyötyarviot'!$H$14)</f>
        <v>210000</v>
      </c>
      <c r="U192" s="141" t="e">
        <f>IF(T192=1,-1,IRR($T$2:T192))</f>
        <v>#DIV/0!</v>
      </c>
      <c r="V192" s="142">
        <v>190</v>
      </c>
      <c r="W192" s="139">
        <f>IF('kustannus-hyötyarviot'!$D$30-'kustannus-hyötyarviot'!$H$14&lt;0,1,'kustannus-hyötyarviot'!$D$30-'kustannus-hyötyarviot'!$H$14)</f>
        <v>0</v>
      </c>
      <c r="X192" s="141" t="e">
        <f>IF(W192=1,-1,IRR($W$2:W192))</f>
        <v>#NUM!</v>
      </c>
    </row>
    <row r="193" spans="16:24" x14ac:dyDescent="0.25">
      <c r="P193" s="142">
        <v>191</v>
      </c>
      <c r="Q193" s="139">
        <f>IF('kustannus-hyötyarviot'!$D$26-'kustannus-hyötyarviot'!$H$14&lt;0,1,'kustannus-hyötyarviot'!$D$26-'kustannus-hyötyarviot'!$H$14)</f>
        <v>0</v>
      </c>
      <c r="R193" s="141" t="e">
        <f>IF(Q193=1,-1,IRR(Q$2:$Q193))</f>
        <v>#NUM!</v>
      </c>
      <c r="S193" s="142">
        <v>191</v>
      </c>
      <c r="T193" s="139">
        <f>IF('kustannus-hyötyarviot'!$H$28-'kustannus-hyötyarviot'!$H$14&lt;0,1,'kustannus-hyötyarviot'!$H$28-'kustannus-hyötyarviot'!$H$14)</f>
        <v>210000</v>
      </c>
      <c r="U193" s="141" t="e">
        <f>IF(T193=1,-1,IRR($T$2:T193))</f>
        <v>#DIV/0!</v>
      </c>
      <c r="V193" s="142">
        <v>191</v>
      </c>
      <c r="W193" s="139">
        <f>IF('kustannus-hyötyarviot'!$D$30-'kustannus-hyötyarviot'!$H$14&lt;0,1,'kustannus-hyötyarviot'!$D$30-'kustannus-hyötyarviot'!$H$14)</f>
        <v>0</v>
      </c>
      <c r="X193" s="141" t="e">
        <f>IF(W193=1,-1,IRR($W$2:W193))</f>
        <v>#NUM!</v>
      </c>
    </row>
    <row r="194" spans="16:24" x14ac:dyDescent="0.25">
      <c r="P194" s="142">
        <v>192</v>
      </c>
      <c r="Q194" s="139">
        <f>IF('kustannus-hyötyarviot'!$D$26-'kustannus-hyötyarviot'!$H$14&lt;0,1,'kustannus-hyötyarviot'!$D$26-'kustannus-hyötyarviot'!$H$14)</f>
        <v>0</v>
      </c>
      <c r="R194" s="141" t="e">
        <f>IF(Q194=1,-1,IRR(Q$2:$Q194))</f>
        <v>#NUM!</v>
      </c>
      <c r="S194" s="142">
        <v>192</v>
      </c>
      <c r="T194" s="139">
        <f>IF('kustannus-hyötyarviot'!$H$28-'kustannus-hyötyarviot'!$H$14&lt;0,1,'kustannus-hyötyarviot'!$H$28-'kustannus-hyötyarviot'!$H$14)</f>
        <v>210000</v>
      </c>
      <c r="U194" s="141" t="e">
        <f>IF(T194=1,-1,IRR($T$2:T194))</f>
        <v>#DIV/0!</v>
      </c>
      <c r="V194" s="142">
        <v>192</v>
      </c>
      <c r="W194" s="139">
        <f>IF('kustannus-hyötyarviot'!$D$30-'kustannus-hyötyarviot'!$H$14&lt;0,1,'kustannus-hyötyarviot'!$D$30-'kustannus-hyötyarviot'!$H$14)</f>
        <v>0</v>
      </c>
      <c r="X194" s="141" t="e">
        <f>IF(W194=1,-1,IRR($W$2:W194))</f>
        <v>#NUM!</v>
      </c>
    </row>
    <row r="195" spans="16:24" x14ac:dyDescent="0.25">
      <c r="P195" s="142">
        <v>193</v>
      </c>
      <c r="Q195" s="139">
        <f>IF('kustannus-hyötyarviot'!$D$26-'kustannus-hyötyarviot'!$H$14&lt;0,1,'kustannus-hyötyarviot'!$D$26-'kustannus-hyötyarviot'!$H$14)</f>
        <v>0</v>
      </c>
      <c r="R195" s="141" t="e">
        <f>IF(Q195=1,-1,IRR(Q$2:$Q195))</f>
        <v>#NUM!</v>
      </c>
      <c r="S195" s="142">
        <v>193</v>
      </c>
      <c r="T195" s="139">
        <f>IF('kustannus-hyötyarviot'!$H$28-'kustannus-hyötyarviot'!$H$14&lt;0,1,'kustannus-hyötyarviot'!$H$28-'kustannus-hyötyarviot'!$H$14)</f>
        <v>210000</v>
      </c>
      <c r="U195" s="141" t="e">
        <f>IF(T195=1,-1,IRR($T$2:T195))</f>
        <v>#DIV/0!</v>
      </c>
      <c r="V195" s="142">
        <v>193</v>
      </c>
      <c r="W195" s="139">
        <f>IF('kustannus-hyötyarviot'!$D$30-'kustannus-hyötyarviot'!$H$14&lt;0,1,'kustannus-hyötyarviot'!$D$30-'kustannus-hyötyarviot'!$H$14)</f>
        <v>0</v>
      </c>
      <c r="X195" s="141" t="e">
        <f>IF(W195=1,-1,IRR($W$2:W195))</f>
        <v>#NUM!</v>
      </c>
    </row>
    <row r="196" spans="16:24" x14ac:dyDescent="0.25">
      <c r="P196" s="142">
        <v>194</v>
      </c>
      <c r="Q196" s="139">
        <f>IF('kustannus-hyötyarviot'!$D$26-'kustannus-hyötyarviot'!$H$14&lt;0,1,'kustannus-hyötyarviot'!$D$26-'kustannus-hyötyarviot'!$H$14)</f>
        <v>0</v>
      </c>
      <c r="R196" s="141" t="e">
        <f>IF(Q196=1,-1,IRR(Q$2:$Q196))</f>
        <v>#NUM!</v>
      </c>
      <c r="S196" s="142">
        <v>194</v>
      </c>
      <c r="T196" s="139">
        <f>IF('kustannus-hyötyarviot'!$H$28-'kustannus-hyötyarviot'!$H$14&lt;0,1,'kustannus-hyötyarviot'!$H$28-'kustannus-hyötyarviot'!$H$14)</f>
        <v>210000</v>
      </c>
      <c r="U196" s="141" t="e">
        <f>IF(T196=1,-1,IRR($T$2:T196))</f>
        <v>#DIV/0!</v>
      </c>
      <c r="V196" s="142">
        <v>194</v>
      </c>
      <c r="W196" s="139">
        <f>IF('kustannus-hyötyarviot'!$D$30-'kustannus-hyötyarviot'!$H$14&lt;0,1,'kustannus-hyötyarviot'!$D$30-'kustannus-hyötyarviot'!$H$14)</f>
        <v>0</v>
      </c>
      <c r="X196" s="141" t="e">
        <f>IF(W196=1,-1,IRR($W$2:W196))</f>
        <v>#NUM!</v>
      </c>
    </row>
    <row r="197" spans="16:24" x14ac:dyDescent="0.25">
      <c r="P197" s="142">
        <v>195</v>
      </c>
      <c r="Q197" s="139">
        <f>IF('kustannus-hyötyarviot'!$D$26-'kustannus-hyötyarviot'!$H$14&lt;0,1,'kustannus-hyötyarviot'!$D$26-'kustannus-hyötyarviot'!$H$14)</f>
        <v>0</v>
      </c>
      <c r="R197" s="141" t="e">
        <f>IF(Q197=1,-1,IRR(Q$2:$Q197))</f>
        <v>#NUM!</v>
      </c>
      <c r="S197" s="142">
        <v>195</v>
      </c>
      <c r="T197" s="139">
        <f>IF('kustannus-hyötyarviot'!$H$28-'kustannus-hyötyarviot'!$H$14&lt;0,1,'kustannus-hyötyarviot'!$H$28-'kustannus-hyötyarviot'!$H$14)</f>
        <v>210000</v>
      </c>
      <c r="U197" s="141" t="e">
        <f>IF(T197=1,-1,IRR($T$2:T197))</f>
        <v>#DIV/0!</v>
      </c>
      <c r="V197" s="142">
        <v>195</v>
      </c>
      <c r="W197" s="139">
        <f>IF('kustannus-hyötyarviot'!$D$30-'kustannus-hyötyarviot'!$H$14&lt;0,1,'kustannus-hyötyarviot'!$D$30-'kustannus-hyötyarviot'!$H$14)</f>
        <v>0</v>
      </c>
      <c r="X197" s="141" t="e">
        <f>IF(W197=1,-1,IRR($W$2:W197))</f>
        <v>#NUM!</v>
      </c>
    </row>
    <row r="198" spans="16:24" x14ac:dyDescent="0.25">
      <c r="P198" s="142">
        <v>196</v>
      </c>
      <c r="Q198" s="139">
        <f>IF('kustannus-hyötyarviot'!$D$26-'kustannus-hyötyarviot'!$H$14&lt;0,1,'kustannus-hyötyarviot'!$D$26-'kustannus-hyötyarviot'!$H$14)</f>
        <v>0</v>
      </c>
      <c r="R198" s="141" t="e">
        <f>IF(Q198=1,-1,IRR(Q$2:$Q198))</f>
        <v>#NUM!</v>
      </c>
      <c r="S198" s="142">
        <v>196</v>
      </c>
      <c r="T198" s="139">
        <f>IF('kustannus-hyötyarviot'!$H$28-'kustannus-hyötyarviot'!$H$14&lt;0,1,'kustannus-hyötyarviot'!$H$28-'kustannus-hyötyarviot'!$H$14)</f>
        <v>210000</v>
      </c>
      <c r="U198" s="141" t="e">
        <f>IF(T198=1,-1,IRR($T$2:T198))</f>
        <v>#DIV/0!</v>
      </c>
      <c r="V198" s="142">
        <v>196</v>
      </c>
      <c r="W198" s="139">
        <f>IF('kustannus-hyötyarviot'!$D$30-'kustannus-hyötyarviot'!$H$14&lt;0,1,'kustannus-hyötyarviot'!$D$30-'kustannus-hyötyarviot'!$H$14)</f>
        <v>0</v>
      </c>
      <c r="X198" s="141" t="e">
        <f>IF(W198=1,-1,IRR($W$2:W198))</f>
        <v>#NUM!</v>
      </c>
    </row>
    <row r="199" spans="16:24" x14ac:dyDescent="0.25">
      <c r="P199" s="142">
        <v>197</v>
      </c>
      <c r="Q199" s="139">
        <f>IF('kustannus-hyötyarviot'!$D$26-'kustannus-hyötyarviot'!$H$14&lt;0,1,'kustannus-hyötyarviot'!$D$26-'kustannus-hyötyarviot'!$H$14)</f>
        <v>0</v>
      </c>
      <c r="R199" s="141" t="e">
        <f>IF(Q199=1,-1,IRR(Q$2:$Q199))</f>
        <v>#NUM!</v>
      </c>
      <c r="S199" s="142">
        <v>197</v>
      </c>
      <c r="T199" s="139">
        <f>IF('kustannus-hyötyarviot'!$H$28-'kustannus-hyötyarviot'!$H$14&lt;0,1,'kustannus-hyötyarviot'!$H$28-'kustannus-hyötyarviot'!$H$14)</f>
        <v>210000</v>
      </c>
      <c r="U199" s="141" t="e">
        <f>IF(T199=1,-1,IRR($T$2:T199))</f>
        <v>#DIV/0!</v>
      </c>
      <c r="V199" s="142">
        <v>197</v>
      </c>
      <c r="W199" s="139">
        <f>IF('kustannus-hyötyarviot'!$D$30-'kustannus-hyötyarviot'!$H$14&lt;0,1,'kustannus-hyötyarviot'!$D$30-'kustannus-hyötyarviot'!$H$14)</f>
        <v>0</v>
      </c>
      <c r="X199" s="141" t="e">
        <f>IF(W199=1,-1,IRR($W$2:W199))</f>
        <v>#NUM!</v>
      </c>
    </row>
    <row r="200" spans="16:24" x14ac:dyDescent="0.25">
      <c r="P200" s="142">
        <v>198</v>
      </c>
      <c r="Q200" s="139">
        <f>IF('kustannus-hyötyarviot'!$D$26-'kustannus-hyötyarviot'!$H$14&lt;0,1,'kustannus-hyötyarviot'!$D$26-'kustannus-hyötyarviot'!$H$14)</f>
        <v>0</v>
      </c>
      <c r="R200" s="141" t="e">
        <f>IF(Q200=1,-1,IRR(Q$2:$Q200))</f>
        <v>#NUM!</v>
      </c>
      <c r="S200" s="142">
        <v>198</v>
      </c>
      <c r="T200" s="139">
        <f>IF('kustannus-hyötyarviot'!$H$28-'kustannus-hyötyarviot'!$H$14&lt;0,1,'kustannus-hyötyarviot'!$H$28-'kustannus-hyötyarviot'!$H$14)</f>
        <v>210000</v>
      </c>
      <c r="U200" s="141" t="e">
        <f>IF(T200=1,-1,IRR($T$2:T200))</f>
        <v>#DIV/0!</v>
      </c>
      <c r="V200" s="142">
        <v>198</v>
      </c>
      <c r="W200" s="139">
        <f>IF('kustannus-hyötyarviot'!$D$30-'kustannus-hyötyarviot'!$H$14&lt;0,1,'kustannus-hyötyarviot'!$D$30-'kustannus-hyötyarviot'!$H$14)</f>
        <v>0</v>
      </c>
      <c r="X200" s="141" t="e">
        <f>IF(W200=1,-1,IRR($W$2:W200))</f>
        <v>#NUM!</v>
      </c>
    </row>
    <row r="201" spans="16:24" x14ac:dyDescent="0.25">
      <c r="P201" s="142">
        <v>199</v>
      </c>
      <c r="Q201" s="139">
        <f>IF('kustannus-hyötyarviot'!$D$26-'kustannus-hyötyarviot'!$H$14&lt;0,1,'kustannus-hyötyarviot'!$D$26-'kustannus-hyötyarviot'!$H$14)</f>
        <v>0</v>
      </c>
      <c r="R201" s="141" t="e">
        <f>IF(Q201=1,-1,IRR(Q$2:$Q201))</f>
        <v>#NUM!</v>
      </c>
      <c r="S201" s="142">
        <v>199</v>
      </c>
      <c r="T201" s="139">
        <f>IF('kustannus-hyötyarviot'!$H$28-'kustannus-hyötyarviot'!$H$14&lt;0,1,'kustannus-hyötyarviot'!$H$28-'kustannus-hyötyarviot'!$H$14)</f>
        <v>210000</v>
      </c>
      <c r="U201" s="141" t="e">
        <f>IF(T201=1,-1,IRR($T$2:T201))</f>
        <v>#DIV/0!</v>
      </c>
      <c r="V201" s="142">
        <v>199</v>
      </c>
      <c r="W201" s="139">
        <f>IF('kustannus-hyötyarviot'!$D$30-'kustannus-hyötyarviot'!$H$14&lt;0,1,'kustannus-hyötyarviot'!$D$30-'kustannus-hyötyarviot'!$H$14)</f>
        <v>0</v>
      </c>
      <c r="X201" s="141" t="e">
        <f>IF(W201=1,-1,IRR($W$2:W201))</f>
        <v>#NUM!</v>
      </c>
    </row>
    <row r="202" spans="16:24" x14ac:dyDescent="0.25">
      <c r="P202" s="142">
        <v>200</v>
      </c>
      <c r="Q202" s="139">
        <f>IF('kustannus-hyötyarviot'!$D$26-'kustannus-hyötyarviot'!$H$14&lt;0,1,'kustannus-hyötyarviot'!$D$26-'kustannus-hyötyarviot'!$H$14)</f>
        <v>0</v>
      </c>
      <c r="R202" s="141" t="e">
        <f>IF(Q202=1,-1,IRR(Q$2:$Q202))</f>
        <v>#NUM!</v>
      </c>
      <c r="S202" s="142">
        <v>200</v>
      </c>
      <c r="T202" s="139">
        <f>IF('kustannus-hyötyarviot'!$H$28-'kustannus-hyötyarviot'!$H$14&lt;0,1,'kustannus-hyötyarviot'!$H$28-'kustannus-hyötyarviot'!$H$14)</f>
        <v>210000</v>
      </c>
      <c r="U202" s="141" t="e">
        <f>IF(T202=1,-1,IRR($T$2:T202))</f>
        <v>#DIV/0!</v>
      </c>
      <c r="V202" s="142">
        <v>200</v>
      </c>
      <c r="W202" s="139">
        <f>IF('kustannus-hyötyarviot'!$D$30-'kustannus-hyötyarviot'!$H$14&lt;0,1,'kustannus-hyötyarviot'!$D$30-'kustannus-hyötyarviot'!$H$14)</f>
        <v>0</v>
      </c>
      <c r="X202" s="141" t="e">
        <f>IF(W202=1,-1,IRR($W$2:W202))</f>
        <v>#NUM!</v>
      </c>
    </row>
    <row r="203" spans="16:24" x14ac:dyDescent="0.25">
      <c r="P203" s="142">
        <v>201</v>
      </c>
      <c r="Q203" s="139">
        <f>IF('kustannus-hyötyarviot'!$D$26-'kustannus-hyötyarviot'!$H$14&lt;0,1,'kustannus-hyötyarviot'!$D$26-'kustannus-hyötyarviot'!$H$14)</f>
        <v>0</v>
      </c>
      <c r="R203" s="141" t="e">
        <f>IF(Q203=1,-1,IRR(Q$2:$Q203))</f>
        <v>#NUM!</v>
      </c>
      <c r="S203" s="142">
        <v>201</v>
      </c>
      <c r="T203" s="139">
        <f>IF('kustannus-hyötyarviot'!$H$28-'kustannus-hyötyarviot'!$H$14&lt;0,1,'kustannus-hyötyarviot'!$H$28-'kustannus-hyötyarviot'!$H$14)</f>
        <v>210000</v>
      </c>
      <c r="U203" s="141" t="e">
        <f>IF(T203=1,-1,IRR($T$2:T203))</f>
        <v>#DIV/0!</v>
      </c>
      <c r="V203" s="142">
        <v>201</v>
      </c>
      <c r="W203" s="139">
        <f>IF('kustannus-hyötyarviot'!$D$30-'kustannus-hyötyarviot'!$H$14&lt;0,1,'kustannus-hyötyarviot'!$D$30-'kustannus-hyötyarviot'!$H$14)</f>
        <v>0</v>
      </c>
      <c r="X203" s="141" t="e">
        <f>IF(W203=1,-1,IRR($W$2:W203))</f>
        <v>#NUM!</v>
      </c>
    </row>
    <row r="204" spans="16:24" x14ac:dyDescent="0.25">
      <c r="P204" s="142">
        <v>202</v>
      </c>
      <c r="Q204" s="139">
        <f>IF('kustannus-hyötyarviot'!$D$26-'kustannus-hyötyarviot'!$H$14&lt;0,1,'kustannus-hyötyarviot'!$D$26-'kustannus-hyötyarviot'!$H$14)</f>
        <v>0</v>
      </c>
      <c r="R204" s="141" t="e">
        <f>IF(Q204=1,-1,IRR(Q$2:$Q204))</f>
        <v>#NUM!</v>
      </c>
      <c r="S204" s="142">
        <v>202</v>
      </c>
      <c r="T204" s="139">
        <f>IF('kustannus-hyötyarviot'!$H$28-'kustannus-hyötyarviot'!$H$14&lt;0,1,'kustannus-hyötyarviot'!$H$28-'kustannus-hyötyarviot'!$H$14)</f>
        <v>210000</v>
      </c>
      <c r="U204" s="141" t="e">
        <f>IF(T204=1,-1,IRR($T$2:T204))</f>
        <v>#DIV/0!</v>
      </c>
      <c r="V204" s="142">
        <v>202</v>
      </c>
      <c r="W204" s="139">
        <f>IF('kustannus-hyötyarviot'!$D$30-'kustannus-hyötyarviot'!$H$14&lt;0,1,'kustannus-hyötyarviot'!$D$30-'kustannus-hyötyarviot'!$H$14)</f>
        <v>0</v>
      </c>
      <c r="X204" s="141" t="e">
        <f>IF(W204=1,-1,IRR($W$2:W204))</f>
        <v>#NUM!</v>
      </c>
    </row>
    <row r="205" spans="16:24" x14ac:dyDescent="0.25">
      <c r="P205" s="142">
        <v>203</v>
      </c>
      <c r="Q205" s="139">
        <f>IF('kustannus-hyötyarviot'!$D$26-'kustannus-hyötyarviot'!$H$14&lt;0,1,'kustannus-hyötyarviot'!$D$26-'kustannus-hyötyarviot'!$H$14)</f>
        <v>0</v>
      </c>
      <c r="R205" s="141" t="e">
        <f>IF(Q205=1,-1,IRR(Q$2:$Q205))</f>
        <v>#NUM!</v>
      </c>
      <c r="S205" s="142">
        <v>203</v>
      </c>
      <c r="T205" s="139">
        <f>IF('kustannus-hyötyarviot'!$H$28-'kustannus-hyötyarviot'!$H$14&lt;0,1,'kustannus-hyötyarviot'!$H$28-'kustannus-hyötyarviot'!$H$14)</f>
        <v>210000</v>
      </c>
      <c r="U205" s="141" t="e">
        <f>IF(T205=1,-1,IRR($T$2:T205))</f>
        <v>#DIV/0!</v>
      </c>
      <c r="V205" s="142">
        <v>203</v>
      </c>
      <c r="W205" s="139">
        <f>IF('kustannus-hyötyarviot'!$D$30-'kustannus-hyötyarviot'!$H$14&lt;0,1,'kustannus-hyötyarviot'!$D$30-'kustannus-hyötyarviot'!$H$14)</f>
        <v>0</v>
      </c>
      <c r="X205" s="141" t="e">
        <f>IF(W205=1,-1,IRR($W$2:W205))</f>
        <v>#NUM!</v>
      </c>
    </row>
    <row r="206" spans="16:24" x14ac:dyDescent="0.25">
      <c r="P206" s="142">
        <v>204</v>
      </c>
      <c r="Q206" s="139">
        <f>IF('kustannus-hyötyarviot'!$D$26-'kustannus-hyötyarviot'!$H$14&lt;0,1,'kustannus-hyötyarviot'!$D$26-'kustannus-hyötyarviot'!$H$14)</f>
        <v>0</v>
      </c>
      <c r="R206" s="141" t="e">
        <f>IF(Q206=1,-1,IRR(Q$2:$Q206))</f>
        <v>#NUM!</v>
      </c>
      <c r="S206" s="142">
        <v>204</v>
      </c>
      <c r="T206" s="139">
        <f>IF('kustannus-hyötyarviot'!$H$28-'kustannus-hyötyarviot'!$H$14&lt;0,1,'kustannus-hyötyarviot'!$H$28-'kustannus-hyötyarviot'!$H$14)</f>
        <v>210000</v>
      </c>
      <c r="U206" s="141" t="e">
        <f>IF(T206=1,-1,IRR($T$2:T206))</f>
        <v>#DIV/0!</v>
      </c>
      <c r="V206" s="142">
        <v>204</v>
      </c>
      <c r="W206" s="139">
        <f>IF('kustannus-hyötyarviot'!$D$30-'kustannus-hyötyarviot'!$H$14&lt;0,1,'kustannus-hyötyarviot'!$D$30-'kustannus-hyötyarviot'!$H$14)</f>
        <v>0</v>
      </c>
      <c r="X206" s="141" t="e">
        <f>IF(W206=1,-1,IRR($W$2:W206))</f>
        <v>#NUM!</v>
      </c>
    </row>
    <row r="207" spans="16:24" x14ac:dyDescent="0.25">
      <c r="P207" s="142">
        <v>205</v>
      </c>
      <c r="Q207" s="139">
        <f>IF('kustannus-hyötyarviot'!$D$26-'kustannus-hyötyarviot'!$H$14&lt;0,1,'kustannus-hyötyarviot'!$D$26-'kustannus-hyötyarviot'!$H$14)</f>
        <v>0</v>
      </c>
      <c r="R207" s="141" t="e">
        <f>IF(Q207=1,-1,IRR(Q$2:$Q207))</f>
        <v>#NUM!</v>
      </c>
      <c r="S207" s="142">
        <v>205</v>
      </c>
      <c r="T207" s="139">
        <f>IF('kustannus-hyötyarviot'!$H$28-'kustannus-hyötyarviot'!$H$14&lt;0,1,'kustannus-hyötyarviot'!$H$28-'kustannus-hyötyarviot'!$H$14)</f>
        <v>210000</v>
      </c>
      <c r="U207" s="141" t="e">
        <f>IF(T207=1,-1,IRR($T$2:T207))</f>
        <v>#DIV/0!</v>
      </c>
      <c r="V207" s="142">
        <v>205</v>
      </c>
      <c r="W207" s="139">
        <f>IF('kustannus-hyötyarviot'!$D$30-'kustannus-hyötyarviot'!$H$14&lt;0,1,'kustannus-hyötyarviot'!$D$30-'kustannus-hyötyarviot'!$H$14)</f>
        <v>0</v>
      </c>
      <c r="X207" s="141" t="e">
        <f>IF(W207=1,-1,IRR($W$2:W207))</f>
        <v>#NUM!</v>
      </c>
    </row>
    <row r="208" spans="16:24" x14ac:dyDescent="0.25">
      <c r="P208" s="142">
        <v>206</v>
      </c>
      <c r="Q208" s="139">
        <f>IF('kustannus-hyötyarviot'!$D$26-'kustannus-hyötyarviot'!$H$14&lt;0,1,'kustannus-hyötyarviot'!$D$26-'kustannus-hyötyarviot'!$H$14)</f>
        <v>0</v>
      </c>
      <c r="R208" s="141" t="e">
        <f>IF(Q208=1,-1,IRR(Q$2:$Q208))</f>
        <v>#NUM!</v>
      </c>
      <c r="S208" s="142">
        <v>206</v>
      </c>
      <c r="T208" s="139">
        <f>IF('kustannus-hyötyarviot'!$H$28-'kustannus-hyötyarviot'!$H$14&lt;0,1,'kustannus-hyötyarviot'!$H$28-'kustannus-hyötyarviot'!$H$14)</f>
        <v>210000</v>
      </c>
      <c r="U208" s="141" t="e">
        <f>IF(T208=1,-1,IRR($T$2:T208))</f>
        <v>#DIV/0!</v>
      </c>
      <c r="V208" s="142">
        <v>206</v>
      </c>
      <c r="W208" s="139">
        <f>IF('kustannus-hyötyarviot'!$D$30-'kustannus-hyötyarviot'!$H$14&lt;0,1,'kustannus-hyötyarviot'!$D$30-'kustannus-hyötyarviot'!$H$14)</f>
        <v>0</v>
      </c>
      <c r="X208" s="141" t="e">
        <f>IF(W208=1,-1,IRR($W$2:W208))</f>
        <v>#NUM!</v>
      </c>
    </row>
    <row r="209" spans="16:24" x14ac:dyDescent="0.25">
      <c r="P209" s="142">
        <v>207</v>
      </c>
      <c r="Q209" s="139">
        <f>IF('kustannus-hyötyarviot'!$D$26-'kustannus-hyötyarviot'!$H$14&lt;0,1,'kustannus-hyötyarviot'!$D$26-'kustannus-hyötyarviot'!$H$14)</f>
        <v>0</v>
      </c>
      <c r="R209" s="141" t="e">
        <f>IF(Q209=1,-1,IRR(Q$2:$Q209))</f>
        <v>#NUM!</v>
      </c>
      <c r="S209" s="142">
        <v>207</v>
      </c>
      <c r="T209" s="139">
        <f>IF('kustannus-hyötyarviot'!$H$28-'kustannus-hyötyarviot'!$H$14&lt;0,1,'kustannus-hyötyarviot'!$H$28-'kustannus-hyötyarviot'!$H$14)</f>
        <v>210000</v>
      </c>
      <c r="U209" s="141" t="e">
        <f>IF(T209=1,-1,IRR($T$2:T209))</f>
        <v>#DIV/0!</v>
      </c>
      <c r="V209" s="142">
        <v>207</v>
      </c>
      <c r="W209" s="139">
        <f>IF('kustannus-hyötyarviot'!$D$30-'kustannus-hyötyarviot'!$H$14&lt;0,1,'kustannus-hyötyarviot'!$D$30-'kustannus-hyötyarviot'!$H$14)</f>
        <v>0</v>
      </c>
      <c r="X209" s="141" t="e">
        <f>IF(W209=1,-1,IRR($W$2:W209))</f>
        <v>#NUM!</v>
      </c>
    </row>
    <row r="210" spans="16:24" x14ac:dyDescent="0.25">
      <c r="P210" s="142">
        <v>208</v>
      </c>
      <c r="Q210" s="139">
        <f>IF('kustannus-hyötyarviot'!$D$26-'kustannus-hyötyarviot'!$H$14&lt;0,1,'kustannus-hyötyarviot'!$D$26-'kustannus-hyötyarviot'!$H$14)</f>
        <v>0</v>
      </c>
      <c r="R210" s="141" t="e">
        <f>IF(Q210=1,-1,IRR(Q$2:$Q210))</f>
        <v>#NUM!</v>
      </c>
      <c r="S210" s="142">
        <v>208</v>
      </c>
      <c r="T210" s="139">
        <f>IF('kustannus-hyötyarviot'!$H$28-'kustannus-hyötyarviot'!$H$14&lt;0,1,'kustannus-hyötyarviot'!$H$28-'kustannus-hyötyarviot'!$H$14)</f>
        <v>210000</v>
      </c>
      <c r="U210" s="141" t="e">
        <f>IF(T210=1,-1,IRR($T$2:T210))</f>
        <v>#DIV/0!</v>
      </c>
      <c r="V210" s="142">
        <v>208</v>
      </c>
      <c r="W210" s="139">
        <f>IF('kustannus-hyötyarviot'!$D$30-'kustannus-hyötyarviot'!$H$14&lt;0,1,'kustannus-hyötyarviot'!$D$30-'kustannus-hyötyarviot'!$H$14)</f>
        <v>0</v>
      </c>
      <c r="X210" s="141" t="e">
        <f>IF(W210=1,-1,IRR($W$2:W210))</f>
        <v>#NUM!</v>
      </c>
    </row>
    <row r="211" spans="16:24" x14ac:dyDescent="0.25">
      <c r="P211" s="142">
        <v>209</v>
      </c>
      <c r="Q211" s="139">
        <f>IF('kustannus-hyötyarviot'!$D$26-'kustannus-hyötyarviot'!$H$14&lt;0,1,'kustannus-hyötyarviot'!$D$26-'kustannus-hyötyarviot'!$H$14)</f>
        <v>0</v>
      </c>
      <c r="R211" s="141" t="e">
        <f>IF(Q211=1,-1,IRR(Q$2:$Q211))</f>
        <v>#NUM!</v>
      </c>
      <c r="S211" s="142">
        <v>209</v>
      </c>
      <c r="T211" s="139">
        <f>IF('kustannus-hyötyarviot'!$H$28-'kustannus-hyötyarviot'!$H$14&lt;0,1,'kustannus-hyötyarviot'!$H$28-'kustannus-hyötyarviot'!$H$14)</f>
        <v>210000</v>
      </c>
      <c r="U211" s="141" t="e">
        <f>IF(T211=1,-1,IRR($T$2:T211))</f>
        <v>#DIV/0!</v>
      </c>
      <c r="V211" s="142">
        <v>209</v>
      </c>
      <c r="W211" s="139">
        <f>IF('kustannus-hyötyarviot'!$D$30-'kustannus-hyötyarviot'!$H$14&lt;0,1,'kustannus-hyötyarviot'!$D$30-'kustannus-hyötyarviot'!$H$14)</f>
        <v>0</v>
      </c>
      <c r="X211" s="141" t="e">
        <f>IF(W211=1,-1,IRR($W$2:W211))</f>
        <v>#NUM!</v>
      </c>
    </row>
    <row r="212" spans="16:24" x14ac:dyDescent="0.25">
      <c r="P212" s="142">
        <v>210</v>
      </c>
      <c r="Q212" s="139">
        <f>IF('kustannus-hyötyarviot'!$D$26-'kustannus-hyötyarviot'!$H$14&lt;0,1,'kustannus-hyötyarviot'!$D$26-'kustannus-hyötyarviot'!$H$14)</f>
        <v>0</v>
      </c>
      <c r="R212" s="141" t="e">
        <f>IF(Q212=1,-1,IRR(Q$2:$Q212))</f>
        <v>#NUM!</v>
      </c>
      <c r="S212" s="142">
        <v>210</v>
      </c>
      <c r="T212" s="139">
        <f>IF('kustannus-hyötyarviot'!$H$28-'kustannus-hyötyarviot'!$H$14&lt;0,1,'kustannus-hyötyarviot'!$H$28-'kustannus-hyötyarviot'!$H$14)</f>
        <v>210000</v>
      </c>
      <c r="U212" s="141" t="e">
        <f>IF(T212=1,-1,IRR($T$2:T212))</f>
        <v>#DIV/0!</v>
      </c>
      <c r="V212" s="142">
        <v>210</v>
      </c>
      <c r="W212" s="139">
        <f>IF('kustannus-hyötyarviot'!$D$30-'kustannus-hyötyarviot'!$H$14&lt;0,1,'kustannus-hyötyarviot'!$D$30-'kustannus-hyötyarviot'!$H$14)</f>
        <v>0</v>
      </c>
      <c r="X212" s="141" t="e">
        <f>IF(W212=1,-1,IRR($W$2:W212))</f>
        <v>#NUM!</v>
      </c>
    </row>
    <row r="213" spans="16:24" x14ac:dyDescent="0.25">
      <c r="P213" s="142">
        <v>211</v>
      </c>
      <c r="Q213" s="139">
        <f>IF('kustannus-hyötyarviot'!$D$26-'kustannus-hyötyarviot'!$H$14&lt;0,1,'kustannus-hyötyarviot'!$D$26-'kustannus-hyötyarviot'!$H$14)</f>
        <v>0</v>
      </c>
      <c r="R213" s="141" t="e">
        <f>IF(Q213=1,-1,IRR(Q$2:$Q213))</f>
        <v>#NUM!</v>
      </c>
      <c r="S213" s="142">
        <v>211</v>
      </c>
      <c r="T213" s="139">
        <f>IF('kustannus-hyötyarviot'!$H$28-'kustannus-hyötyarviot'!$H$14&lt;0,1,'kustannus-hyötyarviot'!$H$28-'kustannus-hyötyarviot'!$H$14)</f>
        <v>210000</v>
      </c>
      <c r="U213" s="141" t="e">
        <f>IF(T213=1,-1,IRR($T$2:T213))</f>
        <v>#DIV/0!</v>
      </c>
      <c r="V213" s="142">
        <v>211</v>
      </c>
      <c r="W213" s="139">
        <f>IF('kustannus-hyötyarviot'!$D$30-'kustannus-hyötyarviot'!$H$14&lt;0,1,'kustannus-hyötyarviot'!$D$30-'kustannus-hyötyarviot'!$H$14)</f>
        <v>0</v>
      </c>
      <c r="X213" s="141" t="e">
        <f>IF(W213=1,-1,IRR($W$2:W213))</f>
        <v>#NUM!</v>
      </c>
    </row>
    <row r="214" spans="16:24" x14ac:dyDescent="0.25">
      <c r="P214" s="142">
        <v>212</v>
      </c>
      <c r="Q214" s="139">
        <f>IF('kustannus-hyötyarviot'!$D$26-'kustannus-hyötyarviot'!$H$14&lt;0,1,'kustannus-hyötyarviot'!$D$26-'kustannus-hyötyarviot'!$H$14)</f>
        <v>0</v>
      </c>
      <c r="R214" s="141" t="e">
        <f>IF(Q214=1,-1,IRR(Q$2:$Q214))</f>
        <v>#NUM!</v>
      </c>
      <c r="S214" s="142">
        <v>212</v>
      </c>
      <c r="T214" s="139">
        <f>IF('kustannus-hyötyarviot'!$H$28-'kustannus-hyötyarviot'!$H$14&lt;0,1,'kustannus-hyötyarviot'!$H$28-'kustannus-hyötyarviot'!$H$14)</f>
        <v>210000</v>
      </c>
      <c r="U214" s="141" t="e">
        <f>IF(T214=1,-1,IRR($T$2:T214))</f>
        <v>#DIV/0!</v>
      </c>
      <c r="V214" s="142">
        <v>212</v>
      </c>
      <c r="W214" s="139">
        <f>IF('kustannus-hyötyarviot'!$D$30-'kustannus-hyötyarviot'!$H$14&lt;0,1,'kustannus-hyötyarviot'!$D$30-'kustannus-hyötyarviot'!$H$14)</f>
        <v>0</v>
      </c>
      <c r="X214" s="141" t="e">
        <f>IF(W214=1,-1,IRR($W$2:W214))</f>
        <v>#NUM!</v>
      </c>
    </row>
    <row r="215" spans="16:24" x14ac:dyDescent="0.25">
      <c r="P215" s="142">
        <v>213</v>
      </c>
      <c r="Q215" s="139">
        <f>IF('kustannus-hyötyarviot'!$D$26-'kustannus-hyötyarviot'!$H$14&lt;0,1,'kustannus-hyötyarviot'!$D$26-'kustannus-hyötyarviot'!$H$14)</f>
        <v>0</v>
      </c>
      <c r="R215" s="141" t="e">
        <f>IF(Q215=1,-1,IRR(Q$2:$Q215))</f>
        <v>#NUM!</v>
      </c>
      <c r="S215" s="142">
        <v>213</v>
      </c>
      <c r="T215" s="139">
        <f>IF('kustannus-hyötyarviot'!$H$28-'kustannus-hyötyarviot'!$H$14&lt;0,1,'kustannus-hyötyarviot'!$H$28-'kustannus-hyötyarviot'!$H$14)</f>
        <v>210000</v>
      </c>
      <c r="U215" s="141" t="e">
        <f>IF(T215=1,-1,IRR($T$2:T215))</f>
        <v>#DIV/0!</v>
      </c>
      <c r="V215" s="142">
        <v>213</v>
      </c>
      <c r="W215" s="139">
        <f>IF('kustannus-hyötyarviot'!$D$30-'kustannus-hyötyarviot'!$H$14&lt;0,1,'kustannus-hyötyarviot'!$D$30-'kustannus-hyötyarviot'!$H$14)</f>
        <v>0</v>
      </c>
      <c r="X215" s="141" t="e">
        <f>IF(W215=1,-1,IRR($W$2:W215))</f>
        <v>#NUM!</v>
      </c>
    </row>
    <row r="216" spans="16:24" x14ac:dyDescent="0.25">
      <c r="P216" s="142">
        <v>214</v>
      </c>
      <c r="Q216" s="139">
        <f>IF('kustannus-hyötyarviot'!$D$26-'kustannus-hyötyarviot'!$H$14&lt;0,1,'kustannus-hyötyarviot'!$D$26-'kustannus-hyötyarviot'!$H$14)</f>
        <v>0</v>
      </c>
      <c r="R216" s="141" t="e">
        <f>IF(Q216=1,-1,IRR(Q$2:$Q216))</f>
        <v>#NUM!</v>
      </c>
      <c r="S216" s="142">
        <v>214</v>
      </c>
      <c r="T216" s="139">
        <f>IF('kustannus-hyötyarviot'!$H$28-'kustannus-hyötyarviot'!$H$14&lt;0,1,'kustannus-hyötyarviot'!$H$28-'kustannus-hyötyarviot'!$H$14)</f>
        <v>210000</v>
      </c>
      <c r="U216" s="141" t="e">
        <f>IF(T216=1,-1,IRR($T$2:T216))</f>
        <v>#DIV/0!</v>
      </c>
      <c r="V216" s="142">
        <v>214</v>
      </c>
      <c r="W216" s="139">
        <f>IF('kustannus-hyötyarviot'!$D$30-'kustannus-hyötyarviot'!$H$14&lt;0,1,'kustannus-hyötyarviot'!$D$30-'kustannus-hyötyarviot'!$H$14)</f>
        <v>0</v>
      </c>
      <c r="X216" s="141" t="e">
        <f>IF(W216=1,-1,IRR($W$2:W216))</f>
        <v>#NUM!</v>
      </c>
    </row>
    <row r="217" spans="16:24" x14ac:dyDescent="0.25">
      <c r="P217" s="142">
        <v>215</v>
      </c>
      <c r="Q217" s="139">
        <f>IF('kustannus-hyötyarviot'!$D$26-'kustannus-hyötyarviot'!$H$14&lt;0,1,'kustannus-hyötyarviot'!$D$26-'kustannus-hyötyarviot'!$H$14)</f>
        <v>0</v>
      </c>
      <c r="R217" s="141" t="e">
        <f>IF(Q217=1,-1,IRR(Q$2:$Q217))</f>
        <v>#NUM!</v>
      </c>
      <c r="S217" s="142">
        <v>215</v>
      </c>
      <c r="T217" s="139">
        <f>IF('kustannus-hyötyarviot'!$H$28-'kustannus-hyötyarviot'!$H$14&lt;0,1,'kustannus-hyötyarviot'!$H$28-'kustannus-hyötyarviot'!$H$14)</f>
        <v>210000</v>
      </c>
      <c r="U217" s="141" t="e">
        <f>IF(T217=1,-1,IRR($T$2:T217))</f>
        <v>#DIV/0!</v>
      </c>
      <c r="V217" s="142">
        <v>215</v>
      </c>
      <c r="W217" s="139">
        <f>IF('kustannus-hyötyarviot'!$D$30-'kustannus-hyötyarviot'!$H$14&lt;0,1,'kustannus-hyötyarviot'!$D$30-'kustannus-hyötyarviot'!$H$14)</f>
        <v>0</v>
      </c>
      <c r="X217" s="141" t="e">
        <f>IF(W217=1,-1,IRR($W$2:W217))</f>
        <v>#NUM!</v>
      </c>
    </row>
    <row r="218" spans="16:24" x14ac:dyDescent="0.25">
      <c r="P218" s="142">
        <v>216</v>
      </c>
      <c r="Q218" s="139">
        <f>IF('kustannus-hyötyarviot'!$D$26-'kustannus-hyötyarviot'!$H$14&lt;0,1,'kustannus-hyötyarviot'!$D$26-'kustannus-hyötyarviot'!$H$14)</f>
        <v>0</v>
      </c>
      <c r="R218" s="141" t="e">
        <f>IF(Q218=1,-1,IRR(Q$2:$Q218))</f>
        <v>#NUM!</v>
      </c>
      <c r="S218" s="142">
        <v>216</v>
      </c>
      <c r="T218" s="139">
        <f>IF('kustannus-hyötyarviot'!$H$28-'kustannus-hyötyarviot'!$H$14&lt;0,1,'kustannus-hyötyarviot'!$H$28-'kustannus-hyötyarviot'!$H$14)</f>
        <v>210000</v>
      </c>
      <c r="U218" s="141" t="e">
        <f>IF(T218=1,-1,IRR($T$2:T218))</f>
        <v>#DIV/0!</v>
      </c>
      <c r="V218" s="142">
        <v>216</v>
      </c>
      <c r="W218" s="139">
        <f>IF('kustannus-hyötyarviot'!$D$30-'kustannus-hyötyarviot'!$H$14&lt;0,1,'kustannus-hyötyarviot'!$D$30-'kustannus-hyötyarviot'!$H$14)</f>
        <v>0</v>
      </c>
      <c r="X218" s="141" t="e">
        <f>IF(W218=1,-1,IRR($W$2:W218))</f>
        <v>#NUM!</v>
      </c>
    </row>
    <row r="219" spans="16:24" x14ac:dyDescent="0.25">
      <c r="P219" s="142">
        <v>217</v>
      </c>
      <c r="Q219" s="139">
        <f>IF('kustannus-hyötyarviot'!$D$26-'kustannus-hyötyarviot'!$H$14&lt;0,1,'kustannus-hyötyarviot'!$D$26-'kustannus-hyötyarviot'!$H$14)</f>
        <v>0</v>
      </c>
      <c r="R219" s="141" t="e">
        <f>IF(Q219=1,-1,IRR(Q$2:$Q219))</f>
        <v>#NUM!</v>
      </c>
      <c r="S219" s="142">
        <v>217</v>
      </c>
      <c r="T219" s="139">
        <f>IF('kustannus-hyötyarviot'!$H$28-'kustannus-hyötyarviot'!$H$14&lt;0,1,'kustannus-hyötyarviot'!$H$28-'kustannus-hyötyarviot'!$H$14)</f>
        <v>210000</v>
      </c>
      <c r="U219" s="141" t="e">
        <f>IF(T219=1,-1,IRR($T$2:T219))</f>
        <v>#DIV/0!</v>
      </c>
      <c r="V219" s="142">
        <v>217</v>
      </c>
      <c r="W219" s="139">
        <f>IF('kustannus-hyötyarviot'!$D$30-'kustannus-hyötyarviot'!$H$14&lt;0,1,'kustannus-hyötyarviot'!$D$30-'kustannus-hyötyarviot'!$H$14)</f>
        <v>0</v>
      </c>
      <c r="X219" s="141" t="e">
        <f>IF(W219=1,-1,IRR($W$2:W219))</f>
        <v>#NUM!</v>
      </c>
    </row>
    <row r="220" spans="16:24" x14ac:dyDescent="0.25">
      <c r="P220" s="142">
        <v>218</v>
      </c>
      <c r="Q220" s="139">
        <f>IF('kustannus-hyötyarviot'!$D$26-'kustannus-hyötyarviot'!$H$14&lt;0,1,'kustannus-hyötyarviot'!$D$26-'kustannus-hyötyarviot'!$H$14)</f>
        <v>0</v>
      </c>
      <c r="R220" s="141" t="e">
        <f>IF(Q220=1,-1,IRR(Q$2:$Q220))</f>
        <v>#NUM!</v>
      </c>
      <c r="S220" s="142">
        <v>218</v>
      </c>
      <c r="T220" s="139">
        <f>IF('kustannus-hyötyarviot'!$H$28-'kustannus-hyötyarviot'!$H$14&lt;0,1,'kustannus-hyötyarviot'!$H$28-'kustannus-hyötyarviot'!$H$14)</f>
        <v>210000</v>
      </c>
      <c r="U220" s="141" t="e">
        <f>IF(T220=1,-1,IRR($T$2:T220))</f>
        <v>#DIV/0!</v>
      </c>
      <c r="V220" s="142">
        <v>218</v>
      </c>
      <c r="W220" s="139">
        <f>IF('kustannus-hyötyarviot'!$D$30-'kustannus-hyötyarviot'!$H$14&lt;0,1,'kustannus-hyötyarviot'!$D$30-'kustannus-hyötyarviot'!$H$14)</f>
        <v>0</v>
      </c>
      <c r="X220" s="141" t="e">
        <f>IF(W220=1,-1,IRR($W$2:W220))</f>
        <v>#NUM!</v>
      </c>
    </row>
    <row r="221" spans="16:24" x14ac:dyDescent="0.25">
      <c r="P221" s="142">
        <v>219</v>
      </c>
      <c r="Q221" s="139">
        <f>IF('kustannus-hyötyarviot'!$D$26-'kustannus-hyötyarviot'!$H$14&lt;0,1,'kustannus-hyötyarviot'!$D$26-'kustannus-hyötyarviot'!$H$14)</f>
        <v>0</v>
      </c>
      <c r="R221" s="141" t="e">
        <f>IF(Q221=1,-1,IRR(Q$2:$Q221))</f>
        <v>#NUM!</v>
      </c>
      <c r="S221" s="142">
        <v>219</v>
      </c>
      <c r="T221" s="139">
        <f>IF('kustannus-hyötyarviot'!$H$28-'kustannus-hyötyarviot'!$H$14&lt;0,1,'kustannus-hyötyarviot'!$H$28-'kustannus-hyötyarviot'!$H$14)</f>
        <v>210000</v>
      </c>
      <c r="U221" s="141" t="e">
        <f>IF(T221=1,-1,IRR($T$2:T221))</f>
        <v>#DIV/0!</v>
      </c>
      <c r="V221" s="142">
        <v>219</v>
      </c>
      <c r="W221" s="139">
        <f>IF('kustannus-hyötyarviot'!$D$30-'kustannus-hyötyarviot'!$H$14&lt;0,1,'kustannus-hyötyarviot'!$D$30-'kustannus-hyötyarviot'!$H$14)</f>
        <v>0</v>
      </c>
      <c r="X221" s="141" t="e">
        <f>IF(W221=1,-1,IRR($W$2:W221))</f>
        <v>#NUM!</v>
      </c>
    </row>
    <row r="222" spans="16:24" x14ac:dyDescent="0.25">
      <c r="P222" s="142">
        <v>220</v>
      </c>
      <c r="Q222" s="139">
        <f>IF('kustannus-hyötyarviot'!$D$26-'kustannus-hyötyarviot'!$H$14&lt;0,1,'kustannus-hyötyarviot'!$D$26-'kustannus-hyötyarviot'!$H$14)</f>
        <v>0</v>
      </c>
      <c r="R222" s="141" t="e">
        <f>IF(Q222=1,-1,IRR(Q$2:$Q222))</f>
        <v>#NUM!</v>
      </c>
      <c r="S222" s="142">
        <v>220</v>
      </c>
      <c r="T222" s="139">
        <f>IF('kustannus-hyötyarviot'!$H$28-'kustannus-hyötyarviot'!$H$14&lt;0,1,'kustannus-hyötyarviot'!$H$28-'kustannus-hyötyarviot'!$H$14)</f>
        <v>210000</v>
      </c>
      <c r="U222" s="141" t="e">
        <f>IF(T222=1,-1,IRR($T$2:T222))</f>
        <v>#DIV/0!</v>
      </c>
      <c r="V222" s="142">
        <v>220</v>
      </c>
      <c r="W222" s="139">
        <f>IF('kustannus-hyötyarviot'!$D$30-'kustannus-hyötyarviot'!$H$14&lt;0,1,'kustannus-hyötyarviot'!$D$30-'kustannus-hyötyarviot'!$H$14)</f>
        <v>0</v>
      </c>
      <c r="X222" s="141" t="e">
        <f>IF(W222=1,-1,IRR($W$2:W222))</f>
        <v>#NUM!</v>
      </c>
    </row>
    <row r="223" spans="16:24" x14ac:dyDescent="0.25">
      <c r="P223" s="142">
        <v>221</v>
      </c>
      <c r="Q223" s="139">
        <f>IF('kustannus-hyötyarviot'!$D$26-'kustannus-hyötyarviot'!$H$14&lt;0,1,'kustannus-hyötyarviot'!$D$26-'kustannus-hyötyarviot'!$H$14)</f>
        <v>0</v>
      </c>
      <c r="R223" s="141" t="e">
        <f>IF(Q223=1,-1,IRR(Q$2:$Q223))</f>
        <v>#NUM!</v>
      </c>
      <c r="S223" s="142">
        <v>221</v>
      </c>
      <c r="T223" s="139">
        <f>IF('kustannus-hyötyarviot'!$H$28-'kustannus-hyötyarviot'!$H$14&lt;0,1,'kustannus-hyötyarviot'!$H$28-'kustannus-hyötyarviot'!$H$14)</f>
        <v>210000</v>
      </c>
      <c r="U223" s="141" t="e">
        <f>IF(T223=1,-1,IRR($T$2:T223))</f>
        <v>#DIV/0!</v>
      </c>
      <c r="V223" s="142">
        <v>221</v>
      </c>
      <c r="W223" s="139">
        <f>IF('kustannus-hyötyarviot'!$D$30-'kustannus-hyötyarviot'!$H$14&lt;0,1,'kustannus-hyötyarviot'!$D$30-'kustannus-hyötyarviot'!$H$14)</f>
        <v>0</v>
      </c>
      <c r="X223" s="141" t="e">
        <f>IF(W223=1,-1,IRR($W$2:W223))</f>
        <v>#NUM!</v>
      </c>
    </row>
    <row r="224" spans="16:24" x14ac:dyDescent="0.25">
      <c r="P224" s="142">
        <v>222</v>
      </c>
      <c r="Q224" s="139">
        <f>IF('kustannus-hyötyarviot'!$D$26-'kustannus-hyötyarviot'!$H$14&lt;0,1,'kustannus-hyötyarviot'!$D$26-'kustannus-hyötyarviot'!$H$14)</f>
        <v>0</v>
      </c>
      <c r="R224" s="141" t="e">
        <f>IF(Q224=1,-1,IRR(Q$2:$Q224))</f>
        <v>#NUM!</v>
      </c>
      <c r="S224" s="142">
        <v>222</v>
      </c>
      <c r="T224" s="139">
        <f>IF('kustannus-hyötyarviot'!$H$28-'kustannus-hyötyarviot'!$H$14&lt;0,1,'kustannus-hyötyarviot'!$H$28-'kustannus-hyötyarviot'!$H$14)</f>
        <v>210000</v>
      </c>
      <c r="U224" s="141" t="e">
        <f>IF(T224=1,-1,IRR($T$2:T224))</f>
        <v>#DIV/0!</v>
      </c>
      <c r="V224" s="142">
        <v>222</v>
      </c>
      <c r="W224" s="139">
        <f>IF('kustannus-hyötyarviot'!$D$30-'kustannus-hyötyarviot'!$H$14&lt;0,1,'kustannus-hyötyarviot'!$D$30-'kustannus-hyötyarviot'!$H$14)</f>
        <v>0</v>
      </c>
      <c r="X224" s="141" t="e">
        <f>IF(W224=1,-1,IRR($W$2:W224))</f>
        <v>#NUM!</v>
      </c>
    </row>
    <row r="225" spans="16:24" x14ac:dyDescent="0.25">
      <c r="P225" s="142">
        <v>223</v>
      </c>
      <c r="Q225" s="139">
        <f>IF('kustannus-hyötyarviot'!$D$26-'kustannus-hyötyarviot'!$H$14&lt;0,1,'kustannus-hyötyarviot'!$D$26-'kustannus-hyötyarviot'!$H$14)</f>
        <v>0</v>
      </c>
      <c r="R225" s="141" t="e">
        <f>IF(Q225=1,-1,IRR(Q$2:$Q225))</f>
        <v>#NUM!</v>
      </c>
      <c r="S225" s="142">
        <v>223</v>
      </c>
      <c r="T225" s="139">
        <f>IF('kustannus-hyötyarviot'!$H$28-'kustannus-hyötyarviot'!$H$14&lt;0,1,'kustannus-hyötyarviot'!$H$28-'kustannus-hyötyarviot'!$H$14)</f>
        <v>210000</v>
      </c>
      <c r="U225" s="141" t="e">
        <f>IF(T225=1,-1,IRR($T$2:T225))</f>
        <v>#DIV/0!</v>
      </c>
      <c r="V225" s="142">
        <v>223</v>
      </c>
      <c r="W225" s="139">
        <f>IF('kustannus-hyötyarviot'!$D$30-'kustannus-hyötyarviot'!$H$14&lt;0,1,'kustannus-hyötyarviot'!$D$30-'kustannus-hyötyarviot'!$H$14)</f>
        <v>0</v>
      </c>
      <c r="X225" s="141" t="e">
        <f>IF(W225=1,-1,IRR($W$2:W225))</f>
        <v>#NUM!</v>
      </c>
    </row>
    <row r="226" spans="16:24" x14ac:dyDescent="0.25">
      <c r="P226" s="142">
        <v>224</v>
      </c>
      <c r="Q226" s="139">
        <f>IF('kustannus-hyötyarviot'!$D$26-'kustannus-hyötyarviot'!$H$14&lt;0,1,'kustannus-hyötyarviot'!$D$26-'kustannus-hyötyarviot'!$H$14)</f>
        <v>0</v>
      </c>
      <c r="R226" s="141" t="e">
        <f>IF(Q226=1,-1,IRR(Q$2:$Q226))</f>
        <v>#NUM!</v>
      </c>
      <c r="S226" s="142">
        <v>224</v>
      </c>
      <c r="T226" s="139">
        <f>IF('kustannus-hyötyarviot'!$H$28-'kustannus-hyötyarviot'!$H$14&lt;0,1,'kustannus-hyötyarviot'!$H$28-'kustannus-hyötyarviot'!$H$14)</f>
        <v>210000</v>
      </c>
      <c r="U226" s="141" t="e">
        <f>IF(T226=1,-1,IRR($T$2:T226))</f>
        <v>#DIV/0!</v>
      </c>
      <c r="V226" s="142">
        <v>224</v>
      </c>
      <c r="W226" s="139">
        <f>IF('kustannus-hyötyarviot'!$D$30-'kustannus-hyötyarviot'!$H$14&lt;0,1,'kustannus-hyötyarviot'!$D$30-'kustannus-hyötyarviot'!$H$14)</f>
        <v>0</v>
      </c>
      <c r="X226" s="141" t="e">
        <f>IF(W226=1,-1,IRR($W$2:W226))</f>
        <v>#NUM!</v>
      </c>
    </row>
    <row r="227" spans="16:24" x14ac:dyDescent="0.25">
      <c r="P227" s="142">
        <v>225</v>
      </c>
      <c r="Q227" s="139">
        <f>IF('kustannus-hyötyarviot'!$D$26-'kustannus-hyötyarviot'!$H$14&lt;0,1,'kustannus-hyötyarviot'!$D$26-'kustannus-hyötyarviot'!$H$14)</f>
        <v>0</v>
      </c>
      <c r="R227" s="141" t="e">
        <f>IF(Q227=1,-1,IRR(Q$2:$Q227))</f>
        <v>#NUM!</v>
      </c>
      <c r="S227" s="142">
        <v>225</v>
      </c>
      <c r="T227" s="139">
        <f>IF('kustannus-hyötyarviot'!$H$28-'kustannus-hyötyarviot'!$H$14&lt;0,1,'kustannus-hyötyarviot'!$H$28-'kustannus-hyötyarviot'!$H$14)</f>
        <v>210000</v>
      </c>
      <c r="U227" s="141" t="e">
        <f>IF(T227=1,-1,IRR($T$2:T227))</f>
        <v>#DIV/0!</v>
      </c>
      <c r="V227" s="142">
        <v>225</v>
      </c>
      <c r="W227" s="139">
        <f>IF('kustannus-hyötyarviot'!$D$30-'kustannus-hyötyarviot'!$H$14&lt;0,1,'kustannus-hyötyarviot'!$D$30-'kustannus-hyötyarviot'!$H$14)</f>
        <v>0</v>
      </c>
      <c r="X227" s="141" t="e">
        <f>IF(W227=1,-1,IRR($W$2:W227))</f>
        <v>#NUM!</v>
      </c>
    </row>
    <row r="228" spans="16:24" x14ac:dyDescent="0.25">
      <c r="P228" s="142">
        <v>226</v>
      </c>
      <c r="Q228" s="139">
        <f>IF('kustannus-hyötyarviot'!$D$26-'kustannus-hyötyarviot'!$H$14&lt;0,1,'kustannus-hyötyarviot'!$D$26-'kustannus-hyötyarviot'!$H$14)</f>
        <v>0</v>
      </c>
      <c r="R228" s="141" t="e">
        <f>IF(Q228=1,-1,IRR(Q$2:$Q228))</f>
        <v>#NUM!</v>
      </c>
      <c r="S228" s="142">
        <v>226</v>
      </c>
      <c r="T228" s="139">
        <f>IF('kustannus-hyötyarviot'!$H$28-'kustannus-hyötyarviot'!$H$14&lt;0,1,'kustannus-hyötyarviot'!$H$28-'kustannus-hyötyarviot'!$H$14)</f>
        <v>210000</v>
      </c>
      <c r="U228" s="141" t="e">
        <f>IF(T228=1,-1,IRR($T$2:T228))</f>
        <v>#DIV/0!</v>
      </c>
      <c r="V228" s="142">
        <v>226</v>
      </c>
      <c r="W228" s="139">
        <f>IF('kustannus-hyötyarviot'!$D$30-'kustannus-hyötyarviot'!$H$14&lt;0,1,'kustannus-hyötyarviot'!$D$30-'kustannus-hyötyarviot'!$H$14)</f>
        <v>0</v>
      </c>
      <c r="X228" s="141" t="e">
        <f>IF(W228=1,-1,IRR($W$2:W228))</f>
        <v>#NUM!</v>
      </c>
    </row>
    <row r="229" spans="16:24" x14ac:dyDescent="0.25">
      <c r="P229" s="142">
        <v>227</v>
      </c>
      <c r="Q229" s="139">
        <f>IF('kustannus-hyötyarviot'!$D$26-'kustannus-hyötyarviot'!$H$14&lt;0,1,'kustannus-hyötyarviot'!$D$26-'kustannus-hyötyarviot'!$H$14)</f>
        <v>0</v>
      </c>
      <c r="R229" s="141" t="e">
        <f>IF(Q229=1,-1,IRR(Q$2:$Q229))</f>
        <v>#NUM!</v>
      </c>
      <c r="S229" s="142">
        <v>227</v>
      </c>
      <c r="T229" s="139">
        <f>IF('kustannus-hyötyarviot'!$H$28-'kustannus-hyötyarviot'!$H$14&lt;0,1,'kustannus-hyötyarviot'!$H$28-'kustannus-hyötyarviot'!$H$14)</f>
        <v>210000</v>
      </c>
      <c r="U229" s="141" t="e">
        <f>IF(T229=1,-1,IRR($T$2:T229))</f>
        <v>#DIV/0!</v>
      </c>
      <c r="V229" s="142">
        <v>227</v>
      </c>
      <c r="W229" s="139">
        <f>IF('kustannus-hyötyarviot'!$D$30-'kustannus-hyötyarviot'!$H$14&lt;0,1,'kustannus-hyötyarviot'!$D$30-'kustannus-hyötyarviot'!$H$14)</f>
        <v>0</v>
      </c>
      <c r="X229" s="141" t="e">
        <f>IF(W229=1,-1,IRR($W$2:W229))</f>
        <v>#NUM!</v>
      </c>
    </row>
    <row r="230" spans="16:24" x14ac:dyDescent="0.25">
      <c r="P230" s="142">
        <v>228</v>
      </c>
      <c r="Q230" s="139">
        <f>IF('kustannus-hyötyarviot'!$D$26-'kustannus-hyötyarviot'!$H$14&lt;0,1,'kustannus-hyötyarviot'!$D$26-'kustannus-hyötyarviot'!$H$14)</f>
        <v>0</v>
      </c>
      <c r="R230" s="141" t="e">
        <f>IF(Q230=1,-1,IRR(Q$2:$Q230))</f>
        <v>#NUM!</v>
      </c>
      <c r="S230" s="142">
        <v>228</v>
      </c>
      <c r="T230" s="139">
        <f>IF('kustannus-hyötyarviot'!$H$28-'kustannus-hyötyarviot'!$H$14&lt;0,1,'kustannus-hyötyarviot'!$H$28-'kustannus-hyötyarviot'!$H$14)</f>
        <v>210000</v>
      </c>
      <c r="U230" s="141" t="e">
        <f>IF(T230=1,-1,IRR($T$2:T230))</f>
        <v>#DIV/0!</v>
      </c>
      <c r="V230" s="142">
        <v>228</v>
      </c>
      <c r="W230" s="139">
        <f>IF('kustannus-hyötyarviot'!$D$30-'kustannus-hyötyarviot'!$H$14&lt;0,1,'kustannus-hyötyarviot'!$D$30-'kustannus-hyötyarviot'!$H$14)</f>
        <v>0</v>
      </c>
      <c r="X230" s="141" t="e">
        <f>IF(W230=1,-1,IRR($W$2:W230))</f>
        <v>#NUM!</v>
      </c>
    </row>
    <row r="231" spans="16:24" x14ac:dyDescent="0.25">
      <c r="P231" s="142">
        <v>229</v>
      </c>
      <c r="Q231" s="139">
        <f>IF('kustannus-hyötyarviot'!$D$26-'kustannus-hyötyarviot'!$H$14&lt;0,1,'kustannus-hyötyarviot'!$D$26-'kustannus-hyötyarviot'!$H$14)</f>
        <v>0</v>
      </c>
      <c r="R231" s="141" t="e">
        <f>IF(Q231=1,-1,IRR(Q$2:$Q231))</f>
        <v>#NUM!</v>
      </c>
      <c r="S231" s="142">
        <v>229</v>
      </c>
      <c r="T231" s="139">
        <f>IF('kustannus-hyötyarviot'!$H$28-'kustannus-hyötyarviot'!$H$14&lt;0,1,'kustannus-hyötyarviot'!$H$28-'kustannus-hyötyarviot'!$H$14)</f>
        <v>210000</v>
      </c>
      <c r="U231" s="141" t="e">
        <f>IF(T231=1,-1,IRR($T$2:T231))</f>
        <v>#DIV/0!</v>
      </c>
      <c r="V231" s="142">
        <v>229</v>
      </c>
      <c r="W231" s="139">
        <f>IF('kustannus-hyötyarviot'!$D$30-'kustannus-hyötyarviot'!$H$14&lt;0,1,'kustannus-hyötyarviot'!$D$30-'kustannus-hyötyarviot'!$H$14)</f>
        <v>0</v>
      </c>
      <c r="X231" s="141" t="e">
        <f>IF(W231=1,-1,IRR($W$2:W231))</f>
        <v>#NUM!</v>
      </c>
    </row>
    <row r="232" spans="16:24" x14ac:dyDescent="0.25">
      <c r="P232" s="142">
        <v>230</v>
      </c>
      <c r="Q232" s="139">
        <f>IF('kustannus-hyötyarviot'!$D$26-'kustannus-hyötyarviot'!$H$14&lt;0,1,'kustannus-hyötyarviot'!$D$26-'kustannus-hyötyarviot'!$H$14)</f>
        <v>0</v>
      </c>
      <c r="R232" s="141" t="e">
        <f>IF(Q232=1,-1,IRR(Q$2:$Q232))</f>
        <v>#NUM!</v>
      </c>
      <c r="S232" s="142">
        <v>230</v>
      </c>
      <c r="T232" s="139">
        <f>IF('kustannus-hyötyarviot'!$H$28-'kustannus-hyötyarviot'!$H$14&lt;0,1,'kustannus-hyötyarviot'!$H$28-'kustannus-hyötyarviot'!$H$14)</f>
        <v>210000</v>
      </c>
      <c r="U232" s="141" t="e">
        <f>IF(T232=1,-1,IRR($T$2:T232))</f>
        <v>#DIV/0!</v>
      </c>
      <c r="V232" s="142">
        <v>230</v>
      </c>
      <c r="W232" s="139">
        <f>IF('kustannus-hyötyarviot'!$D$30-'kustannus-hyötyarviot'!$H$14&lt;0,1,'kustannus-hyötyarviot'!$D$30-'kustannus-hyötyarviot'!$H$14)</f>
        <v>0</v>
      </c>
      <c r="X232" s="141" t="e">
        <f>IF(W232=1,-1,IRR($W$2:W232))</f>
        <v>#NUM!</v>
      </c>
    </row>
    <row r="233" spans="16:24" x14ac:dyDescent="0.25">
      <c r="P233" s="142">
        <v>231</v>
      </c>
      <c r="Q233" s="139">
        <f>IF('kustannus-hyötyarviot'!$D$26-'kustannus-hyötyarviot'!$H$14&lt;0,1,'kustannus-hyötyarviot'!$D$26-'kustannus-hyötyarviot'!$H$14)</f>
        <v>0</v>
      </c>
      <c r="R233" s="141" t="e">
        <f>IF(Q233=1,-1,IRR(Q$2:$Q233))</f>
        <v>#NUM!</v>
      </c>
      <c r="S233" s="142">
        <v>231</v>
      </c>
      <c r="T233" s="139">
        <f>IF('kustannus-hyötyarviot'!$H$28-'kustannus-hyötyarviot'!$H$14&lt;0,1,'kustannus-hyötyarviot'!$H$28-'kustannus-hyötyarviot'!$H$14)</f>
        <v>210000</v>
      </c>
      <c r="U233" s="141" t="e">
        <f>IF(T233=1,-1,IRR($T$2:T233))</f>
        <v>#DIV/0!</v>
      </c>
      <c r="V233" s="142">
        <v>231</v>
      </c>
      <c r="W233" s="139">
        <f>IF('kustannus-hyötyarviot'!$D$30-'kustannus-hyötyarviot'!$H$14&lt;0,1,'kustannus-hyötyarviot'!$D$30-'kustannus-hyötyarviot'!$H$14)</f>
        <v>0</v>
      </c>
      <c r="X233" s="141" t="e">
        <f>IF(W233=1,-1,IRR($W$2:W233))</f>
        <v>#NUM!</v>
      </c>
    </row>
    <row r="234" spans="16:24" x14ac:dyDescent="0.25">
      <c r="P234" s="142">
        <v>232</v>
      </c>
      <c r="Q234" s="139">
        <f>IF('kustannus-hyötyarviot'!$D$26-'kustannus-hyötyarviot'!$H$14&lt;0,1,'kustannus-hyötyarviot'!$D$26-'kustannus-hyötyarviot'!$H$14)</f>
        <v>0</v>
      </c>
      <c r="R234" s="141" t="e">
        <f>IF(Q234=1,-1,IRR(Q$2:$Q234))</f>
        <v>#NUM!</v>
      </c>
      <c r="S234" s="142">
        <v>232</v>
      </c>
      <c r="T234" s="139">
        <f>IF('kustannus-hyötyarviot'!$H$28-'kustannus-hyötyarviot'!$H$14&lt;0,1,'kustannus-hyötyarviot'!$H$28-'kustannus-hyötyarviot'!$H$14)</f>
        <v>210000</v>
      </c>
      <c r="U234" s="141" t="e">
        <f>IF(T234=1,-1,IRR($T$2:T234))</f>
        <v>#DIV/0!</v>
      </c>
      <c r="V234" s="142">
        <v>232</v>
      </c>
      <c r="W234" s="139">
        <f>IF('kustannus-hyötyarviot'!$D$30-'kustannus-hyötyarviot'!$H$14&lt;0,1,'kustannus-hyötyarviot'!$D$30-'kustannus-hyötyarviot'!$H$14)</f>
        <v>0</v>
      </c>
      <c r="X234" s="141" t="e">
        <f>IF(W234=1,-1,IRR($W$2:W234))</f>
        <v>#NUM!</v>
      </c>
    </row>
    <row r="235" spans="16:24" x14ac:dyDescent="0.25">
      <c r="P235" s="142">
        <v>233</v>
      </c>
      <c r="Q235" s="139">
        <f>IF('kustannus-hyötyarviot'!$D$26-'kustannus-hyötyarviot'!$H$14&lt;0,1,'kustannus-hyötyarviot'!$D$26-'kustannus-hyötyarviot'!$H$14)</f>
        <v>0</v>
      </c>
      <c r="R235" s="141" t="e">
        <f>IF(Q235=1,-1,IRR(Q$2:$Q235))</f>
        <v>#NUM!</v>
      </c>
      <c r="S235" s="142">
        <v>233</v>
      </c>
      <c r="T235" s="139">
        <f>IF('kustannus-hyötyarviot'!$H$28-'kustannus-hyötyarviot'!$H$14&lt;0,1,'kustannus-hyötyarviot'!$H$28-'kustannus-hyötyarviot'!$H$14)</f>
        <v>210000</v>
      </c>
      <c r="U235" s="141" t="e">
        <f>IF(T235=1,-1,IRR($T$2:T235))</f>
        <v>#DIV/0!</v>
      </c>
      <c r="V235" s="142">
        <v>233</v>
      </c>
      <c r="W235" s="139">
        <f>IF('kustannus-hyötyarviot'!$D$30-'kustannus-hyötyarviot'!$H$14&lt;0,1,'kustannus-hyötyarviot'!$D$30-'kustannus-hyötyarviot'!$H$14)</f>
        <v>0</v>
      </c>
      <c r="X235" s="141" t="e">
        <f>IF(W235=1,-1,IRR($W$2:W235))</f>
        <v>#NUM!</v>
      </c>
    </row>
    <row r="236" spans="16:24" x14ac:dyDescent="0.25">
      <c r="P236" s="142">
        <v>234</v>
      </c>
      <c r="Q236" s="139">
        <f>IF('kustannus-hyötyarviot'!$D$26-'kustannus-hyötyarviot'!$H$14&lt;0,1,'kustannus-hyötyarviot'!$D$26-'kustannus-hyötyarviot'!$H$14)</f>
        <v>0</v>
      </c>
      <c r="R236" s="141" t="e">
        <f>IF(Q236=1,-1,IRR(Q$2:$Q236))</f>
        <v>#NUM!</v>
      </c>
      <c r="S236" s="142">
        <v>234</v>
      </c>
      <c r="T236" s="139">
        <f>IF('kustannus-hyötyarviot'!$H$28-'kustannus-hyötyarviot'!$H$14&lt;0,1,'kustannus-hyötyarviot'!$H$28-'kustannus-hyötyarviot'!$H$14)</f>
        <v>210000</v>
      </c>
      <c r="U236" s="141" t="e">
        <f>IF(T236=1,-1,IRR($T$2:T236))</f>
        <v>#DIV/0!</v>
      </c>
      <c r="V236" s="142">
        <v>234</v>
      </c>
      <c r="W236" s="139">
        <f>IF('kustannus-hyötyarviot'!$D$30-'kustannus-hyötyarviot'!$H$14&lt;0,1,'kustannus-hyötyarviot'!$D$30-'kustannus-hyötyarviot'!$H$14)</f>
        <v>0</v>
      </c>
      <c r="X236" s="141" t="e">
        <f>IF(W236=1,-1,IRR($W$2:W236))</f>
        <v>#NUM!</v>
      </c>
    </row>
    <row r="237" spans="16:24" x14ac:dyDescent="0.25">
      <c r="P237" s="142">
        <v>235</v>
      </c>
      <c r="Q237" s="139">
        <f>IF('kustannus-hyötyarviot'!$D$26-'kustannus-hyötyarviot'!$H$14&lt;0,1,'kustannus-hyötyarviot'!$D$26-'kustannus-hyötyarviot'!$H$14)</f>
        <v>0</v>
      </c>
      <c r="R237" s="141" t="e">
        <f>IF(Q237=1,-1,IRR(Q$2:$Q237))</f>
        <v>#NUM!</v>
      </c>
      <c r="S237" s="142">
        <v>235</v>
      </c>
      <c r="T237" s="139">
        <f>IF('kustannus-hyötyarviot'!$H$28-'kustannus-hyötyarviot'!$H$14&lt;0,1,'kustannus-hyötyarviot'!$H$28-'kustannus-hyötyarviot'!$H$14)</f>
        <v>210000</v>
      </c>
      <c r="U237" s="141" t="e">
        <f>IF(T237=1,-1,IRR($T$2:T237))</f>
        <v>#DIV/0!</v>
      </c>
      <c r="V237" s="142">
        <v>235</v>
      </c>
      <c r="W237" s="139">
        <f>IF('kustannus-hyötyarviot'!$D$30-'kustannus-hyötyarviot'!$H$14&lt;0,1,'kustannus-hyötyarviot'!$D$30-'kustannus-hyötyarviot'!$H$14)</f>
        <v>0</v>
      </c>
      <c r="X237" s="141" t="e">
        <f>IF(W237=1,-1,IRR($W$2:W237))</f>
        <v>#NUM!</v>
      </c>
    </row>
    <row r="238" spans="16:24" x14ac:dyDescent="0.25">
      <c r="P238" s="142">
        <v>236</v>
      </c>
      <c r="Q238" s="139">
        <f>IF('kustannus-hyötyarviot'!$D$26-'kustannus-hyötyarviot'!$H$14&lt;0,1,'kustannus-hyötyarviot'!$D$26-'kustannus-hyötyarviot'!$H$14)</f>
        <v>0</v>
      </c>
      <c r="R238" s="141" t="e">
        <f>IF(Q238=1,-1,IRR(Q$2:$Q238))</f>
        <v>#NUM!</v>
      </c>
      <c r="S238" s="142">
        <v>236</v>
      </c>
      <c r="T238" s="139">
        <f>IF('kustannus-hyötyarviot'!$H$28-'kustannus-hyötyarviot'!$H$14&lt;0,1,'kustannus-hyötyarviot'!$H$28-'kustannus-hyötyarviot'!$H$14)</f>
        <v>210000</v>
      </c>
      <c r="U238" s="141" t="e">
        <f>IF(T238=1,-1,IRR($T$2:T238))</f>
        <v>#DIV/0!</v>
      </c>
      <c r="V238" s="142">
        <v>236</v>
      </c>
      <c r="W238" s="139">
        <f>IF('kustannus-hyötyarviot'!$D$30-'kustannus-hyötyarviot'!$H$14&lt;0,1,'kustannus-hyötyarviot'!$D$30-'kustannus-hyötyarviot'!$H$14)</f>
        <v>0</v>
      </c>
      <c r="X238" s="141" t="e">
        <f>IF(W238=1,-1,IRR($W$2:W238))</f>
        <v>#NUM!</v>
      </c>
    </row>
    <row r="239" spans="16:24" x14ac:dyDescent="0.25">
      <c r="P239" s="142">
        <v>237</v>
      </c>
      <c r="Q239" s="139">
        <f>IF('kustannus-hyötyarviot'!$D$26-'kustannus-hyötyarviot'!$H$14&lt;0,1,'kustannus-hyötyarviot'!$D$26-'kustannus-hyötyarviot'!$H$14)</f>
        <v>0</v>
      </c>
      <c r="R239" s="141" t="e">
        <f>IF(Q239=1,-1,IRR(Q$2:$Q239))</f>
        <v>#NUM!</v>
      </c>
      <c r="S239" s="142">
        <v>237</v>
      </c>
      <c r="T239" s="139">
        <f>IF('kustannus-hyötyarviot'!$H$28-'kustannus-hyötyarviot'!$H$14&lt;0,1,'kustannus-hyötyarviot'!$H$28-'kustannus-hyötyarviot'!$H$14)</f>
        <v>210000</v>
      </c>
      <c r="U239" s="141" t="e">
        <f>IF(T239=1,-1,IRR($T$2:T239))</f>
        <v>#DIV/0!</v>
      </c>
      <c r="V239" s="142">
        <v>237</v>
      </c>
      <c r="W239" s="139">
        <f>IF('kustannus-hyötyarviot'!$D$30-'kustannus-hyötyarviot'!$H$14&lt;0,1,'kustannus-hyötyarviot'!$D$30-'kustannus-hyötyarviot'!$H$14)</f>
        <v>0</v>
      </c>
      <c r="X239" s="141" t="e">
        <f>IF(W239=1,-1,IRR($W$2:W239))</f>
        <v>#NUM!</v>
      </c>
    </row>
    <row r="240" spans="16:24" x14ac:dyDescent="0.25">
      <c r="P240" s="142">
        <v>238</v>
      </c>
      <c r="Q240" s="139">
        <f>IF('kustannus-hyötyarviot'!$D$26-'kustannus-hyötyarviot'!$H$14&lt;0,1,'kustannus-hyötyarviot'!$D$26-'kustannus-hyötyarviot'!$H$14)</f>
        <v>0</v>
      </c>
      <c r="R240" s="141" t="e">
        <f>IF(Q240=1,-1,IRR(Q$2:$Q240))</f>
        <v>#NUM!</v>
      </c>
      <c r="S240" s="142">
        <v>238</v>
      </c>
      <c r="T240" s="139">
        <f>IF('kustannus-hyötyarviot'!$H$28-'kustannus-hyötyarviot'!$H$14&lt;0,1,'kustannus-hyötyarviot'!$H$28-'kustannus-hyötyarviot'!$H$14)</f>
        <v>210000</v>
      </c>
      <c r="U240" s="141" t="e">
        <f>IF(T240=1,-1,IRR($T$2:T240))</f>
        <v>#DIV/0!</v>
      </c>
      <c r="V240" s="142">
        <v>238</v>
      </c>
      <c r="W240" s="139">
        <f>IF('kustannus-hyötyarviot'!$D$30-'kustannus-hyötyarviot'!$H$14&lt;0,1,'kustannus-hyötyarviot'!$D$30-'kustannus-hyötyarviot'!$H$14)</f>
        <v>0</v>
      </c>
      <c r="X240" s="141" t="e">
        <f>IF(W240=1,-1,IRR($W$2:W240))</f>
        <v>#NUM!</v>
      </c>
    </row>
    <row r="241" spans="16:24" x14ac:dyDescent="0.25">
      <c r="P241" s="142">
        <v>239</v>
      </c>
      <c r="Q241" s="139">
        <f>IF('kustannus-hyötyarviot'!$D$26-'kustannus-hyötyarviot'!$H$14&lt;0,1,'kustannus-hyötyarviot'!$D$26-'kustannus-hyötyarviot'!$H$14)</f>
        <v>0</v>
      </c>
      <c r="R241" s="141" t="e">
        <f>IF(Q241=1,-1,IRR(Q$2:$Q241))</f>
        <v>#NUM!</v>
      </c>
      <c r="S241" s="142">
        <v>239</v>
      </c>
      <c r="T241" s="139">
        <f>IF('kustannus-hyötyarviot'!$H$28-'kustannus-hyötyarviot'!$H$14&lt;0,1,'kustannus-hyötyarviot'!$H$28-'kustannus-hyötyarviot'!$H$14)</f>
        <v>210000</v>
      </c>
      <c r="U241" s="141" t="e">
        <f>IF(T241=1,-1,IRR($T$2:T241))</f>
        <v>#DIV/0!</v>
      </c>
      <c r="V241" s="142">
        <v>239</v>
      </c>
      <c r="W241" s="139">
        <f>IF('kustannus-hyötyarviot'!$D$30-'kustannus-hyötyarviot'!$H$14&lt;0,1,'kustannus-hyötyarviot'!$D$30-'kustannus-hyötyarviot'!$H$14)</f>
        <v>0</v>
      </c>
      <c r="X241" s="141" t="e">
        <f>IF(W241=1,-1,IRR($W$2:W241))</f>
        <v>#NUM!</v>
      </c>
    </row>
    <row r="242" spans="16:24" x14ac:dyDescent="0.25">
      <c r="P242" s="142">
        <v>240</v>
      </c>
      <c r="Q242" s="139">
        <f>IF('kustannus-hyötyarviot'!$D$26-'kustannus-hyötyarviot'!$H$14&lt;0,1,'kustannus-hyötyarviot'!$D$26-'kustannus-hyötyarviot'!$H$14)</f>
        <v>0</v>
      </c>
      <c r="R242" s="141" t="e">
        <f>IF(Q242=1,-1,IRR(Q$2:$Q242))</f>
        <v>#NUM!</v>
      </c>
      <c r="S242" s="142">
        <v>240</v>
      </c>
      <c r="T242" s="139">
        <f>IF('kustannus-hyötyarviot'!$H$28-'kustannus-hyötyarviot'!$H$14&lt;0,1,'kustannus-hyötyarviot'!$H$28-'kustannus-hyötyarviot'!$H$14)</f>
        <v>210000</v>
      </c>
      <c r="U242" s="141" t="e">
        <f>IF(T242=1,-1,IRR($T$2:T242))</f>
        <v>#DIV/0!</v>
      </c>
      <c r="V242" s="142">
        <v>240</v>
      </c>
      <c r="W242" s="139">
        <f>IF('kustannus-hyötyarviot'!$D$30-'kustannus-hyötyarviot'!$H$14&lt;0,1,'kustannus-hyötyarviot'!$D$30-'kustannus-hyötyarviot'!$H$14)</f>
        <v>0</v>
      </c>
      <c r="X242" s="141" t="e">
        <f>IF(W242=1,-1,IRR($W$2:W242))</f>
        <v>#NUM!</v>
      </c>
    </row>
    <row r="243" spans="16:24" x14ac:dyDescent="0.25">
      <c r="P243" s="142">
        <v>241</v>
      </c>
      <c r="Q243" s="139">
        <f>IF('kustannus-hyötyarviot'!$D$26-'kustannus-hyötyarviot'!$H$14&lt;0,1,'kustannus-hyötyarviot'!$D$26-'kustannus-hyötyarviot'!$H$14)</f>
        <v>0</v>
      </c>
      <c r="R243" s="141" t="e">
        <f>IF(Q243=1,-1,IRR(Q$2:$Q243))</f>
        <v>#NUM!</v>
      </c>
      <c r="S243" s="142">
        <v>241</v>
      </c>
      <c r="T243" s="139">
        <f>IF('kustannus-hyötyarviot'!$H$28-'kustannus-hyötyarviot'!$H$14&lt;0,1,'kustannus-hyötyarviot'!$H$28-'kustannus-hyötyarviot'!$H$14)</f>
        <v>210000</v>
      </c>
      <c r="U243" s="141" t="e">
        <f>IF(T243=1,-1,IRR($T$2:T243))</f>
        <v>#DIV/0!</v>
      </c>
      <c r="V243" s="142">
        <v>241</v>
      </c>
      <c r="W243" s="139">
        <f>IF('kustannus-hyötyarviot'!$D$30-'kustannus-hyötyarviot'!$H$14&lt;0,1,'kustannus-hyötyarviot'!$D$30-'kustannus-hyötyarviot'!$H$14)</f>
        <v>0</v>
      </c>
      <c r="X243" s="141" t="e">
        <f>IF(W243=1,-1,IRR($W$2:W243))</f>
        <v>#NUM!</v>
      </c>
    </row>
    <row r="244" spans="16:24" x14ac:dyDescent="0.25">
      <c r="P244" s="142">
        <v>242</v>
      </c>
      <c r="Q244" s="139">
        <f>IF('kustannus-hyötyarviot'!$D$26-'kustannus-hyötyarviot'!$H$14&lt;0,1,'kustannus-hyötyarviot'!$D$26-'kustannus-hyötyarviot'!$H$14)</f>
        <v>0</v>
      </c>
      <c r="R244" s="141" t="e">
        <f>IF(Q244=1,-1,IRR(Q$2:$Q244))</f>
        <v>#NUM!</v>
      </c>
      <c r="S244" s="142">
        <v>242</v>
      </c>
      <c r="T244" s="139">
        <f>IF('kustannus-hyötyarviot'!$H$28-'kustannus-hyötyarviot'!$H$14&lt;0,1,'kustannus-hyötyarviot'!$H$28-'kustannus-hyötyarviot'!$H$14)</f>
        <v>210000</v>
      </c>
      <c r="U244" s="141" t="e">
        <f>IF(T244=1,-1,IRR($T$2:T244))</f>
        <v>#DIV/0!</v>
      </c>
      <c r="V244" s="142">
        <v>242</v>
      </c>
      <c r="W244" s="139">
        <f>IF('kustannus-hyötyarviot'!$D$30-'kustannus-hyötyarviot'!$H$14&lt;0,1,'kustannus-hyötyarviot'!$D$30-'kustannus-hyötyarviot'!$H$14)</f>
        <v>0</v>
      </c>
      <c r="X244" s="141" t="e">
        <f>IF(W244=1,-1,IRR($W$2:W244))</f>
        <v>#NUM!</v>
      </c>
    </row>
    <row r="245" spans="16:24" x14ac:dyDescent="0.25">
      <c r="P245" s="142">
        <v>243</v>
      </c>
      <c r="Q245" s="139">
        <f>IF('kustannus-hyötyarviot'!$D$26-'kustannus-hyötyarviot'!$H$14&lt;0,1,'kustannus-hyötyarviot'!$D$26-'kustannus-hyötyarviot'!$H$14)</f>
        <v>0</v>
      </c>
      <c r="R245" s="141" t="e">
        <f>IF(Q245=1,-1,IRR(Q$2:$Q245))</f>
        <v>#NUM!</v>
      </c>
      <c r="S245" s="142">
        <v>243</v>
      </c>
      <c r="T245" s="139">
        <f>IF('kustannus-hyötyarviot'!$H$28-'kustannus-hyötyarviot'!$H$14&lt;0,1,'kustannus-hyötyarviot'!$H$28-'kustannus-hyötyarviot'!$H$14)</f>
        <v>210000</v>
      </c>
      <c r="U245" s="141" t="e">
        <f>IF(T245=1,-1,IRR($T$2:T245))</f>
        <v>#DIV/0!</v>
      </c>
      <c r="V245" s="142">
        <v>243</v>
      </c>
      <c r="W245" s="139">
        <f>IF('kustannus-hyötyarviot'!$D$30-'kustannus-hyötyarviot'!$H$14&lt;0,1,'kustannus-hyötyarviot'!$D$30-'kustannus-hyötyarviot'!$H$14)</f>
        <v>0</v>
      </c>
      <c r="X245" s="141" t="e">
        <f>IF(W245=1,-1,IRR($W$2:W245))</f>
        <v>#NUM!</v>
      </c>
    </row>
    <row r="246" spans="16:24" x14ac:dyDescent="0.25">
      <c r="P246" s="142">
        <v>244</v>
      </c>
      <c r="Q246" s="139">
        <f>IF('kustannus-hyötyarviot'!$D$26-'kustannus-hyötyarviot'!$H$14&lt;0,1,'kustannus-hyötyarviot'!$D$26-'kustannus-hyötyarviot'!$H$14)</f>
        <v>0</v>
      </c>
      <c r="R246" s="141" t="e">
        <f>IF(Q246=1,-1,IRR(Q$2:$Q246))</f>
        <v>#NUM!</v>
      </c>
      <c r="S246" s="142">
        <v>244</v>
      </c>
      <c r="T246" s="139">
        <f>IF('kustannus-hyötyarviot'!$H$28-'kustannus-hyötyarviot'!$H$14&lt;0,1,'kustannus-hyötyarviot'!$H$28-'kustannus-hyötyarviot'!$H$14)</f>
        <v>210000</v>
      </c>
      <c r="U246" s="141" t="e">
        <f>IF(T246=1,-1,IRR($T$2:T246))</f>
        <v>#DIV/0!</v>
      </c>
      <c r="V246" s="142">
        <v>244</v>
      </c>
      <c r="W246" s="139">
        <f>IF('kustannus-hyötyarviot'!$D$30-'kustannus-hyötyarviot'!$H$14&lt;0,1,'kustannus-hyötyarviot'!$D$30-'kustannus-hyötyarviot'!$H$14)</f>
        <v>0</v>
      </c>
      <c r="X246" s="141" t="e">
        <f>IF(W246=1,-1,IRR($W$2:W246))</f>
        <v>#NUM!</v>
      </c>
    </row>
    <row r="247" spans="16:24" x14ac:dyDescent="0.25">
      <c r="P247" s="142">
        <v>245</v>
      </c>
      <c r="Q247" s="139">
        <f>IF('kustannus-hyötyarviot'!$D$26-'kustannus-hyötyarviot'!$H$14&lt;0,1,'kustannus-hyötyarviot'!$D$26-'kustannus-hyötyarviot'!$H$14)</f>
        <v>0</v>
      </c>
      <c r="R247" s="141" t="e">
        <f>IF(Q247=1,-1,IRR(Q$2:$Q247))</f>
        <v>#NUM!</v>
      </c>
      <c r="S247" s="142">
        <v>245</v>
      </c>
      <c r="T247" s="139">
        <f>IF('kustannus-hyötyarviot'!$H$28-'kustannus-hyötyarviot'!$H$14&lt;0,1,'kustannus-hyötyarviot'!$H$28-'kustannus-hyötyarviot'!$H$14)</f>
        <v>210000</v>
      </c>
      <c r="U247" s="141" t="e">
        <f>IF(T247=1,-1,IRR($T$2:T247))</f>
        <v>#DIV/0!</v>
      </c>
      <c r="V247" s="142">
        <v>245</v>
      </c>
      <c r="W247" s="139">
        <f>IF('kustannus-hyötyarviot'!$D$30-'kustannus-hyötyarviot'!$H$14&lt;0,1,'kustannus-hyötyarviot'!$D$30-'kustannus-hyötyarviot'!$H$14)</f>
        <v>0</v>
      </c>
      <c r="X247" s="141" t="e">
        <f>IF(W247=1,-1,IRR($W$2:W247))</f>
        <v>#NUM!</v>
      </c>
    </row>
    <row r="248" spans="16:24" x14ac:dyDescent="0.25">
      <c r="P248" s="142">
        <v>246</v>
      </c>
      <c r="Q248" s="139">
        <f>IF('kustannus-hyötyarviot'!$D$26-'kustannus-hyötyarviot'!$H$14&lt;0,1,'kustannus-hyötyarviot'!$D$26-'kustannus-hyötyarviot'!$H$14)</f>
        <v>0</v>
      </c>
      <c r="R248" s="141" t="e">
        <f>IF(Q248=1,-1,IRR(Q$2:$Q248))</f>
        <v>#NUM!</v>
      </c>
      <c r="S248" s="142">
        <v>246</v>
      </c>
      <c r="T248" s="139">
        <f>IF('kustannus-hyötyarviot'!$H$28-'kustannus-hyötyarviot'!$H$14&lt;0,1,'kustannus-hyötyarviot'!$H$28-'kustannus-hyötyarviot'!$H$14)</f>
        <v>210000</v>
      </c>
      <c r="U248" s="141" t="e">
        <f>IF(T248=1,-1,IRR($T$2:T248))</f>
        <v>#DIV/0!</v>
      </c>
      <c r="V248" s="142">
        <v>246</v>
      </c>
      <c r="W248" s="139">
        <f>IF('kustannus-hyötyarviot'!$D$30-'kustannus-hyötyarviot'!$H$14&lt;0,1,'kustannus-hyötyarviot'!$D$30-'kustannus-hyötyarviot'!$H$14)</f>
        <v>0</v>
      </c>
      <c r="X248" s="141" t="e">
        <f>IF(W248=1,-1,IRR($W$2:W248))</f>
        <v>#NUM!</v>
      </c>
    </row>
    <row r="249" spans="16:24" x14ac:dyDescent="0.25">
      <c r="P249" s="142">
        <v>247</v>
      </c>
      <c r="Q249" s="139">
        <f>IF('kustannus-hyötyarviot'!$D$26-'kustannus-hyötyarviot'!$H$14&lt;0,1,'kustannus-hyötyarviot'!$D$26-'kustannus-hyötyarviot'!$H$14)</f>
        <v>0</v>
      </c>
      <c r="R249" s="141" t="e">
        <f>IF(Q249=1,-1,IRR(Q$2:$Q249))</f>
        <v>#NUM!</v>
      </c>
      <c r="S249" s="142">
        <v>247</v>
      </c>
      <c r="T249" s="139">
        <f>IF('kustannus-hyötyarviot'!$H$28-'kustannus-hyötyarviot'!$H$14&lt;0,1,'kustannus-hyötyarviot'!$H$28-'kustannus-hyötyarviot'!$H$14)</f>
        <v>210000</v>
      </c>
      <c r="U249" s="141" t="e">
        <f>IF(T249=1,-1,IRR($T$2:T249))</f>
        <v>#DIV/0!</v>
      </c>
      <c r="V249" s="142">
        <v>247</v>
      </c>
      <c r="W249" s="139">
        <f>IF('kustannus-hyötyarviot'!$D$30-'kustannus-hyötyarviot'!$H$14&lt;0,1,'kustannus-hyötyarviot'!$D$30-'kustannus-hyötyarviot'!$H$14)</f>
        <v>0</v>
      </c>
      <c r="X249" s="141" t="e">
        <f>IF(W249=1,-1,IRR($W$2:W249))</f>
        <v>#NUM!</v>
      </c>
    </row>
    <row r="250" spans="16:24" x14ac:dyDescent="0.25">
      <c r="P250" s="142">
        <v>248</v>
      </c>
      <c r="Q250" s="139">
        <f>IF('kustannus-hyötyarviot'!$D$26-'kustannus-hyötyarviot'!$H$14&lt;0,1,'kustannus-hyötyarviot'!$D$26-'kustannus-hyötyarviot'!$H$14)</f>
        <v>0</v>
      </c>
      <c r="R250" s="141" t="e">
        <f>IF(Q250=1,-1,IRR(Q$2:$Q250))</f>
        <v>#NUM!</v>
      </c>
      <c r="S250" s="142">
        <v>248</v>
      </c>
      <c r="T250" s="139">
        <f>IF('kustannus-hyötyarviot'!$H$28-'kustannus-hyötyarviot'!$H$14&lt;0,1,'kustannus-hyötyarviot'!$H$28-'kustannus-hyötyarviot'!$H$14)</f>
        <v>210000</v>
      </c>
      <c r="U250" s="141" t="e">
        <f>IF(T250=1,-1,IRR($T$2:T250))</f>
        <v>#DIV/0!</v>
      </c>
      <c r="V250" s="142">
        <v>248</v>
      </c>
      <c r="W250" s="139">
        <f>IF('kustannus-hyötyarviot'!$D$30-'kustannus-hyötyarviot'!$H$14&lt;0,1,'kustannus-hyötyarviot'!$D$30-'kustannus-hyötyarviot'!$H$14)</f>
        <v>0</v>
      </c>
      <c r="X250" s="141" t="e">
        <f>IF(W250=1,-1,IRR($W$2:W250))</f>
        <v>#NUM!</v>
      </c>
    </row>
    <row r="251" spans="16:24" x14ac:dyDescent="0.25">
      <c r="P251" s="142">
        <v>249</v>
      </c>
      <c r="Q251" s="139">
        <f>IF('kustannus-hyötyarviot'!$D$26-'kustannus-hyötyarviot'!$H$14&lt;0,1,'kustannus-hyötyarviot'!$D$26-'kustannus-hyötyarviot'!$H$14)</f>
        <v>0</v>
      </c>
      <c r="R251" s="141" t="e">
        <f>IF(Q251=1,-1,IRR(Q$2:$Q251))</f>
        <v>#NUM!</v>
      </c>
      <c r="S251" s="142">
        <v>249</v>
      </c>
      <c r="T251" s="139">
        <f>IF('kustannus-hyötyarviot'!$H$28-'kustannus-hyötyarviot'!$H$14&lt;0,1,'kustannus-hyötyarviot'!$H$28-'kustannus-hyötyarviot'!$H$14)</f>
        <v>210000</v>
      </c>
      <c r="U251" s="141" t="e">
        <f>IF(T251=1,-1,IRR($T$2:T251))</f>
        <v>#DIV/0!</v>
      </c>
      <c r="V251" s="142">
        <v>249</v>
      </c>
      <c r="W251" s="139">
        <f>IF('kustannus-hyötyarviot'!$D$30-'kustannus-hyötyarviot'!$H$14&lt;0,1,'kustannus-hyötyarviot'!$D$30-'kustannus-hyötyarviot'!$H$14)</f>
        <v>0</v>
      </c>
      <c r="X251" s="141" t="e">
        <f>IF(W251=1,-1,IRR($W$2:W251))</f>
        <v>#NUM!</v>
      </c>
    </row>
    <row r="252" spans="16:24" x14ac:dyDescent="0.25">
      <c r="P252" s="142">
        <v>250</v>
      </c>
      <c r="Q252" s="139">
        <f>IF('kustannus-hyötyarviot'!$D$26-'kustannus-hyötyarviot'!$H$14&lt;0,1,'kustannus-hyötyarviot'!$D$26-'kustannus-hyötyarviot'!$H$14)</f>
        <v>0</v>
      </c>
      <c r="R252" s="141" t="e">
        <f>IF(Q252=1,-1,IRR(Q$2:$Q252))</f>
        <v>#NUM!</v>
      </c>
      <c r="S252" s="142">
        <v>250</v>
      </c>
      <c r="T252" s="139">
        <f>IF('kustannus-hyötyarviot'!$H$28-'kustannus-hyötyarviot'!$H$14&lt;0,1,'kustannus-hyötyarviot'!$H$28-'kustannus-hyötyarviot'!$H$14)</f>
        <v>210000</v>
      </c>
      <c r="U252" s="141" t="e">
        <f>IF(T252=1,-1,IRR($T$2:T252))</f>
        <v>#DIV/0!</v>
      </c>
      <c r="V252" s="142">
        <v>250</v>
      </c>
      <c r="W252" s="139">
        <f>IF('kustannus-hyötyarviot'!$D$30-'kustannus-hyötyarviot'!$H$14&lt;0,1,'kustannus-hyötyarviot'!$D$30-'kustannus-hyötyarviot'!$H$14)</f>
        <v>0</v>
      </c>
      <c r="X252" s="141" t="e">
        <f>IF(W252=1,-1,IRR($W$2:W252))</f>
        <v>#NUM!</v>
      </c>
    </row>
    <row r="253" spans="16:24" x14ac:dyDescent="0.25">
      <c r="P253" s="142">
        <v>251</v>
      </c>
      <c r="Q253" s="139">
        <f>IF('kustannus-hyötyarviot'!$D$26-'kustannus-hyötyarviot'!$H$14&lt;0,1,'kustannus-hyötyarviot'!$D$26-'kustannus-hyötyarviot'!$H$14)</f>
        <v>0</v>
      </c>
      <c r="R253" s="141" t="e">
        <f>IF(Q253=1,-1,IRR(Q$2:$Q253))</f>
        <v>#NUM!</v>
      </c>
      <c r="S253" s="142">
        <v>251</v>
      </c>
      <c r="T253" s="139">
        <f>IF('kustannus-hyötyarviot'!$H$28-'kustannus-hyötyarviot'!$H$14&lt;0,1,'kustannus-hyötyarviot'!$H$28-'kustannus-hyötyarviot'!$H$14)</f>
        <v>210000</v>
      </c>
      <c r="U253" s="141" t="e">
        <f>IF(T253=1,-1,IRR($T$2:T253))</f>
        <v>#DIV/0!</v>
      </c>
      <c r="V253" s="142">
        <v>251</v>
      </c>
      <c r="W253" s="139">
        <f>IF('kustannus-hyötyarviot'!$D$30-'kustannus-hyötyarviot'!$H$14&lt;0,1,'kustannus-hyötyarviot'!$D$30-'kustannus-hyötyarviot'!$H$14)</f>
        <v>0</v>
      </c>
      <c r="X253" s="141" t="e">
        <f>IF(W253=1,-1,IRR($W$2:W253))</f>
        <v>#NUM!</v>
      </c>
    </row>
    <row r="254" spans="16:24" x14ac:dyDescent="0.25">
      <c r="P254" s="142">
        <v>252</v>
      </c>
      <c r="Q254" s="139">
        <f>IF('kustannus-hyötyarviot'!$D$26-'kustannus-hyötyarviot'!$H$14&lt;0,1,'kustannus-hyötyarviot'!$D$26-'kustannus-hyötyarviot'!$H$14)</f>
        <v>0</v>
      </c>
      <c r="R254" s="141" t="e">
        <f>IF(Q254=1,-1,IRR(Q$2:$Q254))</f>
        <v>#NUM!</v>
      </c>
      <c r="S254" s="142">
        <v>252</v>
      </c>
      <c r="T254" s="139">
        <f>IF('kustannus-hyötyarviot'!$H$28-'kustannus-hyötyarviot'!$H$14&lt;0,1,'kustannus-hyötyarviot'!$H$28-'kustannus-hyötyarviot'!$H$14)</f>
        <v>210000</v>
      </c>
      <c r="U254" s="141" t="e">
        <f>IF(T254=1,-1,IRR($T$2:T254))</f>
        <v>#DIV/0!</v>
      </c>
      <c r="V254" s="142">
        <v>252</v>
      </c>
      <c r="W254" s="139">
        <f>IF('kustannus-hyötyarviot'!$D$30-'kustannus-hyötyarviot'!$H$14&lt;0,1,'kustannus-hyötyarviot'!$D$30-'kustannus-hyötyarviot'!$H$14)</f>
        <v>0</v>
      </c>
      <c r="X254" s="141" t="e">
        <f>IF(W254=1,-1,IRR($W$2:W254))</f>
        <v>#NUM!</v>
      </c>
    </row>
    <row r="255" spans="16:24" x14ac:dyDescent="0.25">
      <c r="P255" s="142">
        <v>253</v>
      </c>
      <c r="Q255" s="139">
        <f>IF('kustannus-hyötyarviot'!$D$26-'kustannus-hyötyarviot'!$H$14&lt;0,1,'kustannus-hyötyarviot'!$D$26-'kustannus-hyötyarviot'!$H$14)</f>
        <v>0</v>
      </c>
      <c r="R255" s="141" t="e">
        <f>IF(Q255=1,-1,IRR(Q$2:$Q255))</f>
        <v>#NUM!</v>
      </c>
      <c r="S255" s="142">
        <v>253</v>
      </c>
      <c r="T255" s="139">
        <f>IF('kustannus-hyötyarviot'!$H$28-'kustannus-hyötyarviot'!$H$14&lt;0,1,'kustannus-hyötyarviot'!$H$28-'kustannus-hyötyarviot'!$H$14)</f>
        <v>210000</v>
      </c>
      <c r="U255" s="141" t="e">
        <f>IF(T255=1,-1,IRR($T$2:T255))</f>
        <v>#DIV/0!</v>
      </c>
      <c r="V255" s="142">
        <v>253</v>
      </c>
      <c r="W255" s="139">
        <f>IF('kustannus-hyötyarviot'!$D$30-'kustannus-hyötyarviot'!$H$14&lt;0,1,'kustannus-hyötyarviot'!$D$30-'kustannus-hyötyarviot'!$H$14)</f>
        <v>0</v>
      </c>
      <c r="X255" s="141" t="e">
        <f>IF(W255=1,-1,IRR($W$2:W255))</f>
        <v>#NUM!</v>
      </c>
    </row>
    <row r="256" spans="16:24" x14ac:dyDescent="0.25">
      <c r="P256" s="142">
        <v>254</v>
      </c>
      <c r="Q256" s="139">
        <f>IF('kustannus-hyötyarviot'!$D$26-'kustannus-hyötyarviot'!$H$14&lt;0,1,'kustannus-hyötyarviot'!$D$26-'kustannus-hyötyarviot'!$H$14)</f>
        <v>0</v>
      </c>
      <c r="R256" s="141" t="e">
        <f>IF(Q256=1,-1,IRR(Q$2:$Q256))</f>
        <v>#NUM!</v>
      </c>
      <c r="S256" s="142">
        <v>254</v>
      </c>
      <c r="T256" s="139">
        <f>IF('kustannus-hyötyarviot'!$H$28-'kustannus-hyötyarviot'!$H$14&lt;0,1,'kustannus-hyötyarviot'!$H$28-'kustannus-hyötyarviot'!$H$14)</f>
        <v>210000</v>
      </c>
      <c r="U256" s="141" t="e">
        <f>IF(T256=1,-1,IRR($T$2:T256))</f>
        <v>#DIV/0!</v>
      </c>
      <c r="V256" s="142">
        <v>254</v>
      </c>
      <c r="W256" s="139">
        <f>IF('kustannus-hyötyarviot'!$D$30-'kustannus-hyötyarviot'!$H$14&lt;0,1,'kustannus-hyötyarviot'!$D$30-'kustannus-hyötyarviot'!$H$14)</f>
        <v>0</v>
      </c>
      <c r="X256" s="141" t="e">
        <f>IF(W256=1,-1,IRR($W$2:W256))</f>
        <v>#NUM!</v>
      </c>
    </row>
    <row r="257" spans="16:24" x14ac:dyDescent="0.25">
      <c r="P257" s="142">
        <v>255</v>
      </c>
      <c r="Q257" s="139">
        <f>IF('kustannus-hyötyarviot'!$D$26-'kustannus-hyötyarviot'!$H$14&lt;0,1,'kustannus-hyötyarviot'!$D$26-'kustannus-hyötyarviot'!$H$14)</f>
        <v>0</v>
      </c>
      <c r="R257" s="141" t="e">
        <f>IF(Q257=1,-1,IRR(Q$2:$Q257))</f>
        <v>#NUM!</v>
      </c>
      <c r="S257" s="142">
        <v>255</v>
      </c>
      <c r="T257" s="139">
        <f>IF('kustannus-hyötyarviot'!$H$28-'kustannus-hyötyarviot'!$H$14&lt;0,1,'kustannus-hyötyarviot'!$H$28-'kustannus-hyötyarviot'!$H$14)</f>
        <v>210000</v>
      </c>
      <c r="U257" s="141" t="e">
        <f>IF(T257=1,-1,IRR($T$2:T257))</f>
        <v>#DIV/0!</v>
      </c>
      <c r="V257" s="142">
        <v>255</v>
      </c>
      <c r="W257" s="139">
        <f>IF('kustannus-hyötyarviot'!$D$30-'kustannus-hyötyarviot'!$H$14&lt;0,1,'kustannus-hyötyarviot'!$D$30-'kustannus-hyötyarviot'!$H$14)</f>
        <v>0</v>
      </c>
      <c r="X257" s="141" t="e">
        <f>IF(W257=1,-1,IRR($W$2:W257))</f>
        <v>#NUM!</v>
      </c>
    </row>
    <row r="258" spans="16:24" x14ac:dyDescent="0.25">
      <c r="P258" s="142">
        <v>256</v>
      </c>
      <c r="Q258" s="139">
        <f>IF('kustannus-hyötyarviot'!$D$26-'kustannus-hyötyarviot'!$H$14&lt;0,1,'kustannus-hyötyarviot'!$D$26-'kustannus-hyötyarviot'!$H$14)</f>
        <v>0</v>
      </c>
      <c r="R258" s="141" t="e">
        <f>IF(Q258=1,-1,IRR(Q$2:$Q258))</f>
        <v>#NUM!</v>
      </c>
      <c r="S258" s="142">
        <v>256</v>
      </c>
      <c r="T258" s="139">
        <f>IF('kustannus-hyötyarviot'!$H$28-'kustannus-hyötyarviot'!$H$14&lt;0,1,'kustannus-hyötyarviot'!$H$28-'kustannus-hyötyarviot'!$H$14)</f>
        <v>210000</v>
      </c>
      <c r="U258" s="141" t="e">
        <f>IF(T258=1,-1,IRR($T$2:T258))</f>
        <v>#DIV/0!</v>
      </c>
      <c r="V258" s="142">
        <v>256</v>
      </c>
      <c r="W258" s="139">
        <f>IF('kustannus-hyötyarviot'!$D$30-'kustannus-hyötyarviot'!$H$14&lt;0,1,'kustannus-hyötyarviot'!$D$30-'kustannus-hyötyarviot'!$H$14)</f>
        <v>0</v>
      </c>
      <c r="X258" s="141" t="e">
        <f>IF(W258=1,-1,IRR($W$2:W258))</f>
        <v>#NUM!</v>
      </c>
    </row>
    <row r="259" spans="16:24" x14ac:dyDescent="0.25">
      <c r="P259" s="142">
        <v>257</v>
      </c>
      <c r="Q259" s="139">
        <f>IF('kustannus-hyötyarviot'!$D$26-'kustannus-hyötyarviot'!$H$14&lt;0,1,'kustannus-hyötyarviot'!$D$26-'kustannus-hyötyarviot'!$H$14)</f>
        <v>0</v>
      </c>
      <c r="R259" s="141" t="e">
        <f>IF(Q259=1,-1,IRR(Q$2:$Q259))</f>
        <v>#NUM!</v>
      </c>
      <c r="S259" s="142">
        <v>257</v>
      </c>
      <c r="T259" s="139">
        <f>IF('kustannus-hyötyarviot'!$H$28-'kustannus-hyötyarviot'!$H$14&lt;0,1,'kustannus-hyötyarviot'!$H$28-'kustannus-hyötyarviot'!$H$14)</f>
        <v>210000</v>
      </c>
      <c r="U259" s="141" t="e">
        <f>IF(T259=1,-1,IRR($T$2:T259))</f>
        <v>#DIV/0!</v>
      </c>
      <c r="V259" s="142">
        <v>257</v>
      </c>
      <c r="W259" s="139">
        <f>IF('kustannus-hyötyarviot'!$D$30-'kustannus-hyötyarviot'!$H$14&lt;0,1,'kustannus-hyötyarviot'!$D$30-'kustannus-hyötyarviot'!$H$14)</f>
        <v>0</v>
      </c>
      <c r="X259" s="141" t="e">
        <f>IF(W259=1,-1,IRR($W$2:W259))</f>
        <v>#NUM!</v>
      </c>
    </row>
    <row r="260" spans="16:24" x14ac:dyDescent="0.25">
      <c r="P260" s="142">
        <v>258</v>
      </c>
      <c r="Q260" s="139">
        <f>IF('kustannus-hyötyarviot'!$D$26-'kustannus-hyötyarviot'!$H$14&lt;0,1,'kustannus-hyötyarviot'!$D$26-'kustannus-hyötyarviot'!$H$14)</f>
        <v>0</v>
      </c>
      <c r="R260" s="141" t="e">
        <f>IF(Q260=1,-1,IRR(Q$2:$Q260))</f>
        <v>#NUM!</v>
      </c>
      <c r="S260" s="142">
        <v>258</v>
      </c>
      <c r="T260" s="139">
        <f>IF('kustannus-hyötyarviot'!$H$28-'kustannus-hyötyarviot'!$H$14&lt;0,1,'kustannus-hyötyarviot'!$H$28-'kustannus-hyötyarviot'!$H$14)</f>
        <v>210000</v>
      </c>
      <c r="U260" s="141" t="e">
        <f>IF(T260=1,-1,IRR($T$2:T260))</f>
        <v>#DIV/0!</v>
      </c>
      <c r="V260" s="142">
        <v>258</v>
      </c>
      <c r="W260" s="139">
        <f>IF('kustannus-hyötyarviot'!$D$30-'kustannus-hyötyarviot'!$H$14&lt;0,1,'kustannus-hyötyarviot'!$D$30-'kustannus-hyötyarviot'!$H$14)</f>
        <v>0</v>
      </c>
      <c r="X260" s="141" t="e">
        <f>IF(W260=1,-1,IRR($W$2:W260))</f>
        <v>#NUM!</v>
      </c>
    </row>
    <row r="261" spans="16:24" x14ac:dyDescent="0.25">
      <c r="P261" s="142">
        <v>259</v>
      </c>
      <c r="Q261" s="139">
        <f>IF('kustannus-hyötyarviot'!$D$26-'kustannus-hyötyarviot'!$H$14&lt;0,1,'kustannus-hyötyarviot'!$D$26-'kustannus-hyötyarviot'!$H$14)</f>
        <v>0</v>
      </c>
      <c r="R261" s="141" t="e">
        <f>IF(Q261=1,-1,IRR(Q$2:$Q261))</f>
        <v>#NUM!</v>
      </c>
      <c r="S261" s="142">
        <v>259</v>
      </c>
      <c r="T261" s="139">
        <f>IF('kustannus-hyötyarviot'!$H$28-'kustannus-hyötyarviot'!$H$14&lt;0,1,'kustannus-hyötyarviot'!$H$28-'kustannus-hyötyarviot'!$H$14)</f>
        <v>210000</v>
      </c>
      <c r="U261" s="141" t="e">
        <f>IF(T261=1,-1,IRR($T$2:T261))</f>
        <v>#DIV/0!</v>
      </c>
      <c r="V261" s="142">
        <v>259</v>
      </c>
      <c r="W261" s="139">
        <f>IF('kustannus-hyötyarviot'!$D$30-'kustannus-hyötyarviot'!$H$14&lt;0,1,'kustannus-hyötyarviot'!$D$30-'kustannus-hyötyarviot'!$H$14)</f>
        <v>0</v>
      </c>
      <c r="X261" s="141" t="e">
        <f>IF(W261=1,-1,IRR($W$2:W261))</f>
        <v>#NUM!</v>
      </c>
    </row>
    <row r="262" spans="16:24" x14ac:dyDescent="0.25">
      <c r="P262" s="142">
        <v>260</v>
      </c>
      <c r="Q262" s="139">
        <f>IF('kustannus-hyötyarviot'!$D$26-'kustannus-hyötyarviot'!$H$14&lt;0,1,'kustannus-hyötyarviot'!$D$26-'kustannus-hyötyarviot'!$H$14)</f>
        <v>0</v>
      </c>
      <c r="R262" s="141" t="e">
        <f>IF(Q262=1,-1,IRR(Q$2:$Q262))</f>
        <v>#NUM!</v>
      </c>
      <c r="S262" s="142">
        <v>260</v>
      </c>
      <c r="T262" s="139">
        <f>IF('kustannus-hyötyarviot'!$H$28-'kustannus-hyötyarviot'!$H$14&lt;0,1,'kustannus-hyötyarviot'!$H$28-'kustannus-hyötyarviot'!$H$14)</f>
        <v>210000</v>
      </c>
      <c r="U262" s="141" t="e">
        <f>IF(T262=1,-1,IRR($T$2:T262))</f>
        <v>#DIV/0!</v>
      </c>
      <c r="V262" s="142">
        <v>260</v>
      </c>
      <c r="W262" s="139">
        <f>IF('kustannus-hyötyarviot'!$D$30-'kustannus-hyötyarviot'!$H$14&lt;0,1,'kustannus-hyötyarviot'!$D$30-'kustannus-hyötyarviot'!$H$14)</f>
        <v>0</v>
      </c>
      <c r="X262" s="141" t="e">
        <f>IF(W262=1,-1,IRR($W$2:W262))</f>
        <v>#NUM!</v>
      </c>
    </row>
    <row r="263" spans="16:24" x14ac:dyDescent="0.25">
      <c r="P263" s="142">
        <v>261</v>
      </c>
      <c r="Q263" s="139">
        <f>IF('kustannus-hyötyarviot'!$D$26-'kustannus-hyötyarviot'!$H$14&lt;0,1,'kustannus-hyötyarviot'!$D$26-'kustannus-hyötyarviot'!$H$14)</f>
        <v>0</v>
      </c>
      <c r="R263" s="141" t="e">
        <f>IF(Q263=1,-1,IRR(Q$2:$Q263))</f>
        <v>#NUM!</v>
      </c>
      <c r="S263" s="142">
        <v>261</v>
      </c>
      <c r="T263" s="139">
        <f>IF('kustannus-hyötyarviot'!$H$28-'kustannus-hyötyarviot'!$H$14&lt;0,1,'kustannus-hyötyarviot'!$H$28-'kustannus-hyötyarviot'!$H$14)</f>
        <v>210000</v>
      </c>
      <c r="U263" s="141" t="e">
        <f>IF(T263=1,-1,IRR($T$2:T263))</f>
        <v>#DIV/0!</v>
      </c>
      <c r="V263" s="142">
        <v>261</v>
      </c>
      <c r="W263" s="139">
        <f>IF('kustannus-hyötyarviot'!$D$30-'kustannus-hyötyarviot'!$H$14&lt;0,1,'kustannus-hyötyarviot'!$D$30-'kustannus-hyötyarviot'!$H$14)</f>
        <v>0</v>
      </c>
      <c r="X263" s="141" t="e">
        <f>IF(W263=1,-1,IRR($W$2:W263))</f>
        <v>#NUM!</v>
      </c>
    </row>
    <row r="264" spans="16:24" x14ac:dyDescent="0.25">
      <c r="P264" s="142">
        <v>262</v>
      </c>
      <c r="Q264" s="139">
        <f>IF('kustannus-hyötyarviot'!$D$26-'kustannus-hyötyarviot'!$H$14&lt;0,1,'kustannus-hyötyarviot'!$D$26-'kustannus-hyötyarviot'!$H$14)</f>
        <v>0</v>
      </c>
      <c r="R264" s="141" t="e">
        <f>IF(Q264=1,-1,IRR(Q$2:$Q264))</f>
        <v>#NUM!</v>
      </c>
      <c r="S264" s="142">
        <v>262</v>
      </c>
      <c r="T264" s="139">
        <f>IF('kustannus-hyötyarviot'!$H$28-'kustannus-hyötyarviot'!$H$14&lt;0,1,'kustannus-hyötyarviot'!$H$28-'kustannus-hyötyarviot'!$H$14)</f>
        <v>210000</v>
      </c>
      <c r="U264" s="141" t="e">
        <f>IF(T264=1,-1,IRR($T$2:T264))</f>
        <v>#DIV/0!</v>
      </c>
      <c r="V264" s="142">
        <v>262</v>
      </c>
      <c r="W264" s="139">
        <f>IF('kustannus-hyötyarviot'!$D$30-'kustannus-hyötyarviot'!$H$14&lt;0,1,'kustannus-hyötyarviot'!$D$30-'kustannus-hyötyarviot'!$H$14)</f>
        <v>0</v>
      </c>
      <c r="X264" s="141" t="e">
        <f>IF(W264=1,-1,IRR($W$2:W264))</f>
        <v>#NUM!</v>
      </c>
    </row>
    <row r="265" spans="16:24" x14ac:dyDescent="0.25">
      <c r="P265" s="142">
        <v>263</v>
      </c>
      <c r="Q265" s="139">
        <f>IF('kustannus-hyötyarviot'!$D$26-'kustannus-hyötyarviot'!$H$14&lt;0,1,'kustannus-hyötyarviot'!$D$26-'kustannus-hyötyarviot'!$H$14)</f>
        <v>0</v>
      </c>
      <c r="R265" s="141" t="e">
        <f>IF(Q265=1,-1,IRR(Q$2:$Q265))</f>
        <v>#NUM!</v>
      </c>
      <c r="S265" s="142">
        <v>263</v>
      </c>
      <c r="T265" s="139">
        <f>IF('kustannus-hyötyarviot'!$H$28-'kustannus-hyötyarviot'!$H$14&lt;0,1,'kustannus-hyötyarviot'!$H$28-'kustannus-hyötyarviot'!$H$14)</f>
        <v>210000</v>
      </c>
      <c r="U265" s="141" t="e">
        <f>IF(T265=1,-1,IRR($T$2:T265))</f>
        <v>#DIV/0!</v>
      </c>
      <c r="V265" s="142">
        <v>263</v>
      </c>
      <c r="W265" s="139">
        <f>IF('kustannus-hyötyarviot'!$D$30-'kustannus-hyötyarviot'!$H$14&lt;0,1,'kustannus-hyötyarviot'!$D$30-'kustannus-hyötyarviot'!$H$14)</f>
        <v>0</v>
      </c>
      <c r="X265" s="141" t="e">
        <f>IF(W265=1,-1,IRR($W$2:W265))</f>
        <v>#NUM!</v>
      </c>
    </row>
    <row r="266" spans="16:24" x14ac:dyDescent="0.25">
      <c r="P266" s="142">
        <v>264</v>
      </c>
      <c r="Q266" s="139">
        <f>IF('kustannus-hyötyarviot'!$D$26-'kustannus-hyötyarviot'!$H$14&lt;0,1,'kustannus-hyötyarviot'!$D$26-'kustannus-hyötyarviot'!$H$14)</f>
        <v>0</v>
      </c>
      <c r="R266" s="141" t="e">
        <f>IF(Q266=1,-1,IRR(Q$2:$Q266))</f>
        <v>#NUM!</v>
      </c>
      <c r="S266" s="142">
        <v>264</v>
      </c>
      <c r="T266" s="139">
        <f>IF('kustannus-hyötyarviot'!$H$28-'kustannus-hyötyarviot'!$H$14&lt;0,1,'kustannus-hyötyarviot'!$H$28-'kustannus-hyötyarviot'!$H$14)</f>
        <v>210000</v>
      </c>
      <c r="U266" s="141" t="e">
        <f>IF(T266=1,-1,IRR($T$2:T266))</f>
        <v>#DIV/0!</v>
      </c>
      <c r="V266" s="142">
        <v>264</v>
      </c>
      <c r="W266" s="139">
        <f>IF('kustannus-hyötyarviot'!$D$30-'kustannus-hyötyarviot'!$H$14&lt;0,1,'kustannus-hyötyarviot'!$D$30-'kustannus-hyötyarviot'!$H$14)</f>
        <v>0</v>
      </c>
      <c r="X266" s="141" t="e">
        <f>IF(W266=1,-1,IRR($W$2:W266))</f>
        <v>#NUM!</v>
      </c>
    </row>
    <row r="267" spans="16:24" x14ac:dyDescent="0.25">
      <c r="P267" s="142">
        <v>265</v>
      </c>
      <c r="Q267" s="139">
        <f>IF('kustannus-hyötyarviot'!$D$26-'kustannus-hyötyarviot'!$H$14&lt;0,1,'kustannus-hyötyarviot'!$D$26-'kustannus-hyötyarviot'!$H$14)</f>
        <v>0</v>
      </c>
      <c r="R267" s="141" t="e">
        <f>IF(Q267=1,-1,IRR(Q$2:$Q267))</f>
        <v>#NUM!</v>
      </c>
      <c r="S267" s="142">
        <v>265</v>
      </c>
      <c r="T267" s="139">
        <f>IF('kustannus-hyötyarviot'!$H$28-'kustannus-hyötyarviot'!$H$14&lt;0,1,'kustannus-hyötyarviot'!$H$28-'kustannus-hyötyarviot'!$H$14)</f>
        <v>210000</v>
      </c>
      <c r="U267" s="141" t="e">
        <f>IF(T267=1,-1,IRR($T$2:T267))</f>
        <v>#DIV/0!</v>
      </c>
      <c r="V267" s="142">
        <v>265</v>
      </c>
      <c r="W267" s="139">
        <f>IF('kustannus-hyötyarviot'!$D$30-'kustannus-hyötyarviot'!$H$14&lt;0,1,'kustannus-hyötyarviot'!$D$30-'kustannus-hyötyarviot'!$H$14)</f>
        <v>0</v>
      </c>
      <c r="X267" s="141" t="e">
        <f>IF(W267=1,-1,IRR($W$2:W267))</f>
        <v>#NUM!</v>
      </c>
    </row>
    <row r="268" spans="16:24" x14ac:dyDescent="0.25">
      <c r="P268" s="142">
        <v>266</v>
      </c>
      <c r="Q268" s="139">
        <f>IF('kustannus-hyötyarviot'!$D$26-'kustannus-hyötyarviot'!$H$14&lt;0,1,'kustannus-hyötyarviot'!$D$26-'kustannus-hyötyarviot'!$H$14)</f>
        <v>0</v>
      </c>
      <c r="R268" s="141" t="e">
        <f>IF(Q268=1,-1,IRR(Q$2:$Q268))</f>
        <v>#NUM!</v>
      </c>
      <c r="S268" s="142">
        <v>266</v>
      </c>
      <c r="T268" s="139">
        <f>IF('kustannus-hyötyarviot'!$H$28-'kustannus-hyötyarviot'!$H$14&lt;0,1,'kustannus-hyötyarviot'!$H$28-'kustannus-hyötyarviot'!$H$14)</f>
        <v>210000</v>
      </c>
      <c r="U268" s="141" t="e">
        <f>IF(T268=1,-1,IRR($T$2:T268))</f>
        <v>#DIV/0!</v>
      </c>
      <c r="V268" s="142">
        <v>266</v>
      </c>
      <c r="W268" s="139">
        <f>IF('kustannus-hyötyarviot'!$D$30-'kustannus-hyötyarviot'!$H$14&lt;0,1,'kustannus-hyötyarviot'!$D$30-'kustannus-hyötyarviot'!$H$14)</f>
        <v>0</v>
      </c>
      <c r="X268" s="141" t="e">
        <f>IF(W268=1,-1,IRR($W$2:W268))</f>
        <v>#NUM!</v>
      </c>
    </row>
    <row r="269" spans="16:24" x14ac:dyDescent="0.25">
      <c r="P269" s="142">
        <v>267</v>
      </c>
      <c r="Q269" s="139">
        <f>IF('kustannus-hyötyarviot'!$D$26-'kustannus-hyötyarviot'!$H$14&lt;0,1,'kustannus-hyötyarviot'!$D$26-'kustannus-hyötyarviot'!$H$14)</f>
        <v>0</v>
      </c>
      <c r="R269" s="141" t="e">
        <f>IF(Q269=1,-1,IRR(Q$2:$Q269))</f>
        <v>#NUM!</v>
      </c>
      <c r="S269" s="142">
        <v>267</v>
      </c>
      <c r="T269" s="139">
        <f>IF('kustannus-hyötyarviot'!$H$28-'kustannus-hyötyarviot'!$H$14&lt;0,1,'kustannus-hyötyarviot'!$H$28-'kustannus-hyötyarviot'!$H$14)</f>
        <v>210000</v>
      </c>
      <c r="U269" s="141" t="e">
        <f>IF(T269=1,-1,IRR($T$2:T269))</f>
        <v>#DIV/0!</v>
      </c>
      <c r="V269" s="142">
        <v>267</v>
      </c>
      <c r="W269" s="139">
        <f>IF('kustannus-hyötyarviot'!$D$30-'kustannus-hyötyarviot'!$H$14&lt;0,1,'kustannus-hyötyarviot'!$D$30-'kustannus-hyötyarviot'!$H$14)</f>
        <v>0</v>
      </c>
      <c r="X269" s="141" t="e">
        <f>IF(W269=1,-1,IRR($W$2:W269))</f>
        <v>#NUM!</v>
      </c>
    </row>
    <row r="270" spans="16:24" x14ac:dyDescent="0.25">
      <c r="P270" s="142">
        <v>268</v>
      </c>
      <c r="Q270" s="139">
        <f>IF('kustannus-hyötyarviot'!$D$26-'kustannus-hyötyarviot'!$H$14&lt;0,1,'kustannus-hyötyarviot'!$D$26-'kustannus-hyötyarviot'!$H$14)</f>
        <v>0</v>
      </c>
      <c r="R270" s="141" t="e">
        <f>IF(Q270=1,-1,IRR(Q$2:$Q270))</f>
        <v>#NUM!</v>
      </c>
      <c r="S270" s="142">
        <v>268</v>
      </c>
      <c r="T270" s="139">
        <f>IF('kustannus-hyötyarviot'!$H$28-'kustannus-hyötyarviot'!$H$14&lt;0,1,'kustannus-hyötyarviot'!$H$28-'kustannus-hyötyarviot'!$H$14)</f>
        <v>210000</v>
      </c>
      <c r="U270" s="141" t="e">
        <f>IF(T270=1,-1,IRR($T$2:T270))</f>
        <v>#DIV/0!</v>
      </c>
      <c r="V270" s="142">
        <v>268</v>
      </c>
      <c r="W270" s="139">
        <f>IF('kustannus-hyötyarviot'!$D$30-'kustannus-hyötyarviot'!$H$14&lt;0,1,'kustannus-hyötyarviot'!$D$30-'kustannus-hyötyarviot'!$H$14)</f>
        <v>0</v>
      </c>
      <c r="X270" s="141" t="e">
        <f>IF(W270=1,-1,IRR($W$2:W270))</f>
        <v>#NUM!</v>
      </c>
    </row>
    <row r="271" spans="16:24" x14ac:dyDescent="0.25">
      <c r="P271" s="142">
        <v>269</v>
      </c>
      <c r="Q271" s="139">
        <f>IF('kustannus-hyötyarviot'!$D$26-'kustannus-hyötyarviot'!$H$14&lt;0,1,'kustannus-hyötyarviot'!$D$26-'kustannus-hyötyarviot'!$H$14)</f>
        <v>0</v>
      </c>
      <c r="R271" s="141" t="e">
        <f>IF(Q271=1,-1,IRR(Q$2:$Q271))</f>
        <v>#NUM!</v>
      </c>
      <c r="S271" s="142">
        <v>269</v>
      </c>
      <c r="T271" s="139">
        <f>IF('kustannus-hyötyarviot'!$H$28-'kustannus-hyötyarviot'!$H$14&lt;0,1,'kustannus-hyötyarviot'!$H$28-'kustannus-hyötyarviot'!$H$14)</f>
        <v>210000</v>
      </c>
      <c r="U271" s="141" t="e">
        <f>IF(T271=1,-1,IRR($T$2:T271))</f>
        <v>#DIV/0!</v>
      </c>
      <c r="V271" s="142">
        <v>269</v>
      </c>
      <c r="W271" s="139">
        <f>IF('kustannus-hyötyarviot'!$D$30-'kustannus-hyötyarviot'!$H$14&lt;0,1,'kustannus-hyötyarviot'!$D$30-'kustannus-hyötyarviot'!$H$14)</f>
        <v>0</v>
      </c>
      <c r="X271" s="141" t="e">
        <f>IF(W271=1,-1,IRR($W$2:W271))</f>
        <v>#NUM!</v>
      </c>
    </row>
    <row r="272" spans="16:24" x14ac:dyDescent="0.25">
      <c r="P272" s="142">
        <v>270</v>
      </c>
      <c r="Q272" s="139">
        <f>IF('kustannus-hyötyarviot'!$D$26-'kustannus-hyötyarviot'!$H$14&lt;0,1,'kustannus-hyötyarviot'!$D$26-'kustannus-hyötyarviot'!$H$14)</f>
        <v>0</v>
      </c>
      <c r="R272" s="141" t="e">
        <f>IF(Q272=1,-1,IRR(Q$2:$Q272))</f>
        <v>#NUM!</v>
      </c>
      <c r="S272" s="142">
        <v>270</v>
      </c>
      <c r="T272" s="139">
        <f>IF('kustannus-hyötyarviot'!$H$28-'kustannus-hyötyarviot'!$H$14&lt;0,1,'kustannus-hyötyarviot'!$H$28-'kustannus-hyötyarviot'!$H$14)</f>
        <v>210000</v>
      </c>
      <c r="U272" s="141" t="e">
        <f>IF(T272=1,-1,IRR($T$2:T272))</f>
        <v>#DIV/0!</v>
      </c>
      <c r="V272" s="142">
        <v>270</v>
      </c>
      <c r="W272" s="139">
        <f>IF('kustannus-hyötyarviot'!$D$30-'kustannus-hyötyarviot'!$H$14&lt;0,1,'kustannus-hyötyarviot'!$D$30-'kustannus-hyötyarviot'!$H$14)</f>
        <v>0</v>
      </c>
      <c r="X272" s="141" t="e">
        <f>IF(W272=1,-1,IRR($W$2:W272))</f>
        <v>#NUM!</v>
      </c>
    </row>
    <row r="273" spans="16:24" x14ac:dyDescent="0.25">
      <c r="P273" s="142">
        <v>271</v>
      </c>
      <c r="Q273" s="139">
        <f>IF('kustannus-hyötyarviot'!$D$26-'kustannus-hyötyarviot'!$H$14&lt;0,1,'kustannus-hyötyarviot'!$D$26-'kustannus-hyötyarviot'!$H$14)</f>
        <v>0</v>
      </c>
      <c r="R273" s="141" t="e">
        <f>IF(Q273=1,-1,IRR(Q$2:$Q273))</f>
        <v>#NUM!</v>
      </c>
      <c r="S273" s="142">
        <v>271</v>
      </c>
      <c r="T273" s="139">
        <f>IF('kustannus-hyötyarviot'!$H$28-'kustannus-hyötyarviot'!$H$14&lt;0,1,'kustannus-hyötyarviot'!$H$28-'kustannus-hyötyarviot'!$H$14)</f>
        <v>210000</v>
      </c>
      <c r="U273" s="141" t="e">
        <f>IF(T273=1,-1,IRR($T$2:T273))</f>
        <v>#DIV/0!</v>
      </c>
      <c r="V273" s="142">
        <v>271</v>
      </c>
      <c r="W273" s="139">
        <f>IF('kustannus-hyötyarviot'!$D$30-'kustannus-hyötyarviot'!$H$14&lt;0,1,'kustannus-hyötyarviot'!$D$30-'kustannus-hyötyarviot'!$H$14)</f>
        <v>0</v>
      </c>
      <c r="X273" s="141" t="e">
        <f>IF(W273=1,-1,IRR($W$2:W273))</f>
        <v>#NUM!</v>
      </c>
    </row>
    <row r="274" spans="16:24" x14ac:dyDescent="0.25">
      <c r="P274" s="142">
        <v>272</v>
      </c>
      <c r="Q274" s="139">
        <f>IF('kustannus-hyötyarviot'!$D$26-'kustannus-hyötyarviot'!$H$14&lt;0,1,'kustannus-hyötyarviot'!$D$26-'kustannus-hyötyarviot'!$H$14)</f>
        <v>0</v>
      </c>
      <c r="R274" s="141" t="e">
        <f>IF(Q274=1,-1,IRR(Q$2:$Q274))</f>
        <v>#NUM!</v>
      </c>
      <c r="S274" s="142">
        <v>272</v>
      </c>
      <c r="T274" s="139">
        <f>IF('kustannus-hyötyarviot'!$H$28-'kustannus-hyötyarviot'!$H$14&lt;0,1,'kustannus-hyötyarviot'!$H$28-'kustannus-hyötyarviot'!$H$14)</f>
        <v>210000</v>
      </c>
      <c r="U274" s="141" t="e">
        <f>IF(T274=1,-1,IRR($T$2:T274))</f>
        <v>#DIV/0!</v>
      </c>
      <c r="V274" s="142">
        <v>272</v>
      </c>
      <c r="W274" s="139">
        <f>IF('kustannus-hyötyarviot'!$D$30-'kustannus-hyötyarviot'!$H$14&lt;0,1,'kustannus-hyötyarviot'!$D$30-'kustannus-hyötyarviot'!$H$14)</f>
        <v>0</v>
      </c>
      <c r="X274" s="141" t="e">
        <f>IF(W274=1,-1,IRR($W$2:W274))</f>
        <v>#NUM!</v>
      </c>
    </row>
    <row r="275" spans="16:24" x14ac:dyDescent="0.25">
      <c r="P275" s="142">
        <v>273</v>
      </c>
      <c r="Q275" s="139">
        <f>IF('kustannus-hyötyarviot'!$D$26-'kustannus-hyötyarviot'!$H$14&lt;0,1,'kustannus-hyötyarviot'!$D$26-'kustannus-hyötyarviot'!$H$14)</f>
        <v>0</v>
      </c>
      <c r="R275" s="141" t="e">
        <f>IF(Q275=1,-1,IRR(Q$2:$Q275))</f>
        <v>#NUM!</v>
      </c>
      <c r="S275" s="142">
        <v>273</v>
      </c>
      <c r="T275" s="139">
        <f>IF('kustannus-hyötyarviot'!$H$28-'kustannus-hyötyarviot'!$H$14&lt;0,1,'kustannus-hyötyarviot'!$H$28-'kustannus-hyötyarviot'!$H$14)</f>
        <v>210000</v>
      </c>
      <c r="U275" s="141" t="e">
        <f>IF(T275=1,-1,IRR($T$2:T275))</f>
        <v>#DIV/0!</v>
      </c>
      <c r="V275" s="142">
        <v>273</v>
      </c>
      <c r="W275" s="139">
        <f>IF('kustannus-hyötyarviot'!$D$30-'kustannus-hyötyarviot'!$H$14&lt;0,1,'kustannus-hyötyarviot'!$D$30-'kustannus-hyötyarviot'!$H$14)</f>
        <v>0</v>
      </c>
      <c r="X275" s="141" t="e">
        <f>IF(W275=1,-1,IRR($W$2:W275))</f>
        <v>#NUM!</v>
      </c>
    </row>
    <row r="276" spans="16:24" x14ac:dyDescent="0.25">
      <c r="P276" s="142">
        <v>274</v>
      </c>
      <c r="Q276" s="139">
        <f>IF('kustannus-hyötyarviot'!$D$26-'kustannus-hyötyarviot'!$H$14&lt;0,1,'kustannus-hyötyarviot'!$D$26-'kustannus-hyötyarviot'!$H$14)</f>
        <v>0</v>
      </c>
      <c r="R276" s="141" t="e">
        <f>IF(Q276=1,-1,IRR(Q$2:$Q276))</f>
        <v>#NUM!</v>
      </c>
      <c r="S276" s="142">
        <v>274</v>
      </c>
      <c r="T276" s="139">
        <f>IF('kustannus-hyötyarviot'!$H$28-'kustannus-hyötyarviot'!$H$14&lt;0,1,'kustannus-hyötyarviot'!$H$28-'kustannus-hyötyarviot'!$H$14)</f>
        <v>210000</v>
      </c>
      <c r="U276" s="141" t="e">
        <f>IF(T276=1,-1,IRR($T$2:T276))</f>
        <v>#DIV/0!</v>
      </c>
      <c r="V276" s="142">
        <v>274</v>
      </c>
      <c r="W276" s="139">
        <f>IF('kustannus-hyötyarviot'!$D$30-'kustannus-hyötyarviot'!$H$14&lt;0,1,'kustannus-hyötyarviot'!$D$30-'kustannus-hyötyarviot'!$H$14)</f>
        <v>0</v>
      </c>
      <c r="X276" s="141" t="e">
        <f>IF(W276=1,-1,IRR($W$2:W276))</f>
        <v>#NUM!</v>
      </c>
    </row>
    <row r="277" spans="16:24" x14ac:dyDescent="0.25">
      <c r="P277" s="142">
        <v>275</v>
      </c>
      <c r="Q277" s="139">
        <f>IF('kustannus-hyötyarviot'!$D$26-'kustannus-hyötyarviot'!$H$14&lt;0,1,'kustannus-hyötyarviot'!$D$26-'kustannus-hyötyarviot'!$H$14)</f>
        <v>0</v>
      </c>
      <c r="R277" s="141" t="e">
        <f>IF(Q277=1,-1,IRR(Q$2:$Q277))</f>
        <v>#NUM!</v>
      </c>
      <c r="S277" s="142">
        <v>275</v>
      </c>
      <c r="T277" s="139">
        <f>IF('kustannus-hyötyarviot'!$H$28-'kustannus-hyötyarviot'!$H$14&lt;0,1,'kustannus-hyötyarviot'!$H$28-'kustannus-hyötyarviot'!$H$14)</f>
        <v>210000</v>
      </c>
      <c r="U277" s="141" t="e">
        <f>IF(T277=1,-1,IRR($T$2:T277))</f>
        <v>#DIV/0!</v>
      </c>
      <c r="V277" s="142">
        <v>275</v>
      </c>
      <c r="W277" s="139">
        <f>IF('kustannus-hyötyarviot'!$D$30-'kustannus-hyötyarviot'!$H$14&lt;0,1,'kustannus-hyötyarviot'!$D$30-'kustannus-hyötyarviot'!$H$14)</f>
        <v>0</v>
      </c>
      <c r="X277" s="141" t="e">
        <f>IF(W277=1,-1,IRR($W$2:W277))</f>
        <v>#NUM!</v>
      </c>
    </row>
    <row r="278" spans="16:24" x14ac:dyDescent="0.25">
      <c r="P278" s="142">
        <v>276</v>
      </c>
      <c r="Q278" s="139">
        <f>IF('kustannus-hyötyarviot'!$D$26-'kustannus-hyötyarviot'!$H$14&lt;0,1,'kustannus-hyötyarviot'!$D$26-'kustannus-hyötyarviot'!$H$14)</f>
        <v>0</v>
      </c>
      <c r="R278" s="141" t="e">
        <f>IF(Q278=1,-1,IRR(Q$2:$Q278))</f>
        <v>#NUM!</v>
      </c>
      <c r="S278" s="142">
        <v>276</v>
      </c>
      <c r="T278" s="139">
        <f>IF('kustannus-hyötyarviot'!$H$28-'kustannus-hyötyarviot'!$H$14&lt;0,1,'kustannus-hyötyarviot'!$H$28-'kustannus-hyötyarviot'!$H$14)</f>
        <v>210000</v>
      </c>
      <c r="U278" s="141" t="e">
        <f>IF(T278=1,-1,IRR($T$2:T278))</f>
        <v>#DIV/0!</v>
      </c>
      <c r="V278" s="142">
        <v>276</v>
      </c>
      <c r="W278" s="139">
        <f>IF('kustannus-hyötyarviot'!$D$30-'kustannus-hyötyarviot'!$H$14&lt;0,1,'kustannus-hyötyarviot'!$D$30-'kustannus-hyötyarviot'!$H$14)</f>
        <v>0</v>
      </c>
      <c r="X278" s="141" t="e">
        <f>IF(W278=1,-1,IRR($W$2:W278))</f>
        <v>#NUM!</v>
      </c>
    </row>
    <row r="279" spans="16:24" x14ac:dyDescent="0.25">
      <c r="P279" s="142">
        <v>277</v>
      </c>
      <c r="Q279" s="139">
        <f>IF('kustannus-hyötyarviot'!$D$26-'kustannus-hyötyarviot'!$H$14&lt;0,1,'kustannus-hyötyarviot'!$D$26-'kustannus-hyötyarviot'!$H$14)</f>
        <v>0</v>
      </c>
      <c r="R279" s="141" t="e">
        <f>IF(Q279=1,-1,IRR(Q$2:$Q279))</f>
        <v>#NUM!</v>
      </c>
      <c r="S279" s="142">
        <v>277</v>
      </c>
      <c r="T279" s="139">
        <f>IF('kustannus-hyötyarviot'!$H$28-'kustannus-hyötyarviot'!$H$14&lt;0,1,'kustannus-hyötyarviot'!$H$28-'kustannus-hyötyarviot'!$H$14)</f>
        <v>210000</v>
      </c>
      <c r="U279" s="141" t="e">
        <f>IF(T279=1,-1,IRR($T$2:T279))</f>
        <v>#DIV/0!</v>
      </c>
      <c r="V279" s="142">
        <v>277</v>
      </c>
      <c r="W279" s="139">
        <f>IF('kustannus-hyötyarviot'!$D$30-'kustannus-hyötyarviot'!$H$14&lt;0,1,'kustannus-hyötyarviot'!$D$30-'kustannus-hyötyarviot'!$H$14)</f>
        <v>0</v>
      </c>
      <c r="X279" s="141" t="e">
        <f>IF(W279=1,-1,IRR($W$2:W279))</f>
        <v>#NUM!</v>
      </c>
    </row>
    <row r="280" spans="16:24" x14ac:dyDescent="0.25">
      <c r="P280" s="142">
        <v>278</v>
      </c>
      <c r="Q280" s="139">
        <f>IF('kustannus-hyötyarviot'!$D$26-'kustannus-hyötyarviot'!$H$14&lt;0,1,'kustannus-hyötyarviot'!$D$26-'kustannus-hyötyarviot'!$H$14)</f>
        <v>0</v>
      </c>
      <c r="R280" s="141" t="e">
        <f>IF(Q280=1,-1,IRR(Q$2:$Q280))</f>
        <v>#NUM!</v>
      </c>
      <c r="S280" s="142">
        <v>278</v>
      </c>
      <c r="T280" s="139">
        <f>IF('kustannus-hyötyarviot'!$H$28-'kustannus-hyötyarviot'!$H$14&lt;0,1,'kustannus-hyötyarviot'!$H$28-'kustannus-hyötyarviot'!$H$14)</f>
        <v>210000</v>
      </c>
      <c r="U280" s="141" t="e">
        <f>IF(T280=1,-1,IRR($T$2:T280))</f>
        <v>#DIV/0!</v>
      </c>
      <c r="V280" s="142">
        <v>278</v>
      </c>
      <c r="W280" s="139">
        <f>IF('kustannus-hyötyarviot'!$D$30-'kustannus-hyötyarviot'!$H$14&lt;0,1,'kustannus-hyötyarviot'!$D$30-'kustannus-hyötyarviot'!$H$14)</f>
        <v>0</v>
      </c>
      <c r="X280" s="141" t="e">
        <f>IF(W280=1,-1,IRR($W$2:W280))</f>
        <v>#NUM!</v>
      </c>
    </row>
    <row r="281" spans="16:24" x14ac:dyDescent="0.25">
      <c r="P281" s="142">
        <v>279</v>
      </c>
      <c r="Q281" s="139">
        <f>IF('kustannus-hyötyarviot'!$D$26-'kustannus-hyötyarviot'!$H$14&lt;0,1,'kustannus-hyötyarviot'!$D$26-'kustannus-hyötyarviot'!$H$14)</f>
        <v>0</v>
      </c>
      <c r="R281" s="141" t="e">
        <f>IF(Q281=1,-1,IRR(Q$2:$Q281))</f>
        <v>#NUM!</v>
      </c>
      <c r="S281" s="142">
        <v>279</v>
      </c>
      <c r="T281" s="139">
        <f>IF('kustannus-hyötyarviot'!$H$28-'kustannus-hyötyarviot'!$H$14&lt;0,1,'kustannus-hyötyarviot'!$H$28-'kustannus-hyötyarviot'!$H$14)</f>
        <v>210000</v>
      </c>
      <c r="U281" s="141" t="e">
        <f>IF(T281=1,-1,IRR($T$2:T281))</f>
        <v>#DIV/0!</v>
      </c>
      <c r="V281" s="142">
        <v>279</v>
      </c>
      <c r="W281" s="139">
        <f>IF('kustannus-hyötyarviot'!$D$30-'kustannus-hyötyarviot'!$H$14&lt;0,1,'kustannus-hyötyarviot'!$D$30-'kustannus-hyötyarviot'!$H$14)</f>
        <v>0</v>
      </c>
      <c r="X281" s="141" t="e">
        <f>IF(W281=1,-1,IRR($W$2:W281))</f>
        <v>#NUM!</v>
      </c>
    </row>
    <row r="282" spans="16:24" x14ac:dyDescent="0.25">
      <c r="P282" s="142">
        <v>280</v>
      </c>
      <c r="Q282" s="139">
        <f>IF('kustannus-hyötyarviot'!$D$26-'kustannus-hyötyarviot'!$H$14&lt;0,1,'kustannus-hyötyarviot'!$D$26-'kustannus-hyötyarviot'!$H$14)</f>
        <v>0</v>
      </c>
      <c r="R282" s="141" t="e">
        <f>IF(Q282=1,-1,IRR(Q$2:$Q282))</f>
        <v>#NUM!</v>
      </c>
      <c r="S282" s="142">
        <v>280</v>
      </c>
      <c r="T282" s="139">
        <f>IF('kustannus-hyötyarviot'!$H$28-'kustannus-hyötyarviot'!$H$14&lt;0,1,'kustannus-hyötyarviot'!$H$28-'kustannus-hyötyarviot'!$H$14)</f>
        <v>210000</v>
      </c>
      <c r="U282" s="141" t="e">
        <f>IF(T282=1,-1,IRR($T$2:T282))</f>
        <v>#DIV/0!</v>
      </c>
      <c r="V282" s="142">
        <v>280</v>
      </c>
      <c r="W282" s="139">
        <f>IF('kustannus-hyötyarviot'!$D$30-'kustannus-hyötyarviot'!$H$14&lt;0,1,'kustannus-hyötyarviot'!$D$30-'kustannus-hyötyarviot'!$H$14)</f>
        <v>0</v>
      </c>
      <c r="X282" s="141" t="e">
        <f>IF(W282=1,-1,IRR($W$2:W282))</f>
        <v>#NUM!</v>
      </c>
    </row>
    <row r="283" spans="16:24" x14ac:dyDescent="0.25">
      <c r="P283" s="142">
        <v>281</v>
      </c>
      <c r="Q283" s="139">
        <f>IF('kustannus-hyötyarviot'!$D$26-'kustannus-hyötyarviot'!$H$14&lt;0,1,'kustannus-hyötyarviot'!$D$26-'kustannus-hyötyarviot'!$H$14)</f>
        <v>0</v>
      </c>
      <c r="R283" s="141" t="e">
        <f>IF(Q283=1,-1,IRR(Q$2:$Q283))</f>
        <v>#NUM!</v>
      </c>
      <c r="S283" s="142">
        <v>281</v>
      </c>
      <c r="T283" s="139">
        <f>IF('kustannus-hyötyarviot'!$H$28-'kustannus-hyötyarviot'!$H$14&lt;0,1,'kustannus-hyötyarviot'!$H$28-'kustannus-hyötyarviot'!$H$14)</f>
        <v>210000</v>
      </c>
      <c r="U283" s="141" t="e">
        <f>IF(T283=1,-1,IRR($T$2:T283))</f>
        <v>#DIV/0!</v>
      </c>
      <c r="V283" s="142">
        <v>281</v>
      </c>
      <c r="W283" s="139">
        <f>IF('kustannus-hyötyarviot'!$D$30-'kustannus-hyötyarviot'!$H$14&lt;0,1,'kustannus-hyötyarviot'!$D$30-'kustannus-hyötyarviot'!$H$14)</f>
        <v>0</v>
      </c>
      <c r="X283" s="141" t="e">
        <f>IF(W283=1,-1,IRR($W$2:W283))</f>
        <v>#NUM!</v>
      </c>
    </row>
    <row r="284" spans="16:24" x14ac:dyDescent="0.25">
      <c r="P284" s="142">
        <v>282</v>
      </c>
      <c r="Q284" s="139">
        <f>IF('kustannus-hyötyarviot'!$D$26-'kustannus-hyötyarviot'!$H$14&lt;0,1,'kustannus-hyötyarviot'!$D$26-'kustannus-hyötyarviot'!$H$14)</f>
        <v>0</v>
      </c>
      <c r="R284" s="141" t="e">
        <f>IF(Q284=1,-1,IRR(Q$2:$Q284))</f>
        <v>#NUM!</v>
      </c>
      <c r="S284" s="142">
        <v>282</v>
      </c>
      <c r="T284" s="139">
        <f>IF('kustannus-hyötyarviot'!$H$28-'kustannus-hyötyarviot'!$H$14&lt;0,1,'kustannus-hyötyarviot'!$H$28-'kustannus-hyötyarviot'!$H$14)</f>
        <v>210000</v>
      </c>
      <c r="U284" s="141" t="e">
        <f>IF(T284=1,-1,IRR($T$2:T284))</f>
        <v>#DIV/0!</v>
      </c>
      <c r="V284" s="142">
        <v>282</v>
      </c>
      <c r="W284" s="139">
        <f>IF('kustannus-hyötyarviot'!$D$30-'kustannus-hyötyarviot'!$H$14&lt;0,1,'kustannus-hyötyarviot'!$D$30-'kustannus-hyötyarviot'!$H$14)</f>
        <v>0</v>
      </c>
      <c r="X284" s="141" t="e">
        <f>IF(W284=1,-1,IRR($W$2:W284))</f>
        <v>#NUM!</v>
      </c>
    </row>
    <row r="285" spans="16:24" x14ac:dyDescent="0.25">
      <c r="P285" s="142">
        <v>283</v>
      </c>
      <c r="Q285" s="139">
        <f>IF('kustannus-hyötyarviot'!$D$26-'kustannus-hyötyarviot'!$H$14&lt;0,1,'kustannus-hyötyarviot'!$D$26-'kustannus-hyötyarviot'!$H$14)</f>
        <v>0</v>
      </c>
      <c r="R285" s="141" t="e">
        <f>IF(Q285=1,-1,IRR(Q$2:$Q285))</f>
        <v>#NUM!</v>
      </c>
      <c r="S285" s="142">
        <v>283</v>
      </c>
      <c r="T285" s="139">
        <f>IF('kustannus-hyötyarviot'!$H$28-'kustannus-hyötyarviot'!$H$14&lt;0,1,'kustannus-hyötyarviot'!$H$28-'kustannus-hyötyarviot'!$H$14)</f>
        <v>210000</v>
      </c>
      <c r="U285" s="141" t="e">
        <f>IF(T285=1,-1,IRR($T$2:T285))</f>
        <v>#DIV/0!</v>
      </c>
      <c r="V285" s="142">
        <v>283</v>
      </c>
      <c r="W285" s="139">
        <f>IF('kustannus-hyötyarviot'!$D$30-'kustannus-hyötyarviot'!$H$14&lt;0,1,'kustannus-hyötyarviot'!$D$30-'kustannus-hyötyarviot'!$H$14)</f>
        <v>0</v>
      </c>
      <c r="X285" s="141" t="e">
        <f>IF(W285=1,-1,IRR($W$2:W285))</f>
        <v>#NUM!</v>
      </c>
    </row>
    <row r="286" spans="16:24" x14ac:dyDescent="0.25">
      <c r="P286" s="142">
        <v>284</v>
      </c>
      <c r="Q286" s="139">
        <f>IF('kustannus-hyötyarviot'!$D$26-'kustannus-hyötyarviot'!$H$14&lt;0,1,'kustannus-hyötyarviot'!$D$26-'kustannus-hyötyarviot'!$H$14)</f>
        <v>0</v>
      </c>
      <c r="R286" s="141" t="e">
        <f>IF(Q286=1,-1,IRR(Q$2:$Q286))</f>
        <v>#NUM!</v>
      </c>
      <c r="S286" s="142">
        <v>284</v>
      </c>
      <c r="T286" s="139">
        <f>IF('kustannus-hyötyarviot'!$H$28-'kustannus-hyötyarviot'!$H$14&lt;0,1,'kustannus-hyötyarviot'!$H$28-'kustannus-hyötyarviot'!$H$14)</f>
        <v>210000</v>
      </c>
      <c r="U286" s="141" t="e">
        <f>IF(T286=1,-1,IRR($T$2:T286))</f>
        <v>#DIV/0!</v>
      </c>
      <c r="V286" s="142">
        <v>284</v>
      </c>
      <c r="W286" s="139">
        <f>IF('kustannus-hyötyarviot'!$D$30-'kustannus-hyötyarviot'!$H$14&lt;0,1,'kustannus-hyötyarviot'!$D$30-'kustannus-hyötyarviot'!$H$14)</f>
        <v>0</v>
      </c>
      <c r="X286" s="141" t="e">
        <f>IF(W286=1,-1,IRR($W$2:W286))</f>
        <v>#NUM!</v>
      </c>
    </row>
    <row r="287" spans="16:24" x14ac:dyDescent="0.25">
      <c r="P287" s="142">
        <v>285</v>
      </c>
      <c r="Q287" s="139">
        <f>IF('kustannus-hyötyarviot'!$D$26-'kustannus-hyötyarviot'!$H$14&lt;0,1,'kustannus-hyötyarviot'!$D$26-'kustannus-hyötyarviot'!$H$14)</f>
        <v>0</v>
      </c>
      <c r="R287" s="141" t="e">
        <f>IF(Q287=1,-1,IRR(Q$2:$Q287))</f>
        <v>#NUM!</v>
      </c>
      <c r="S287" s="142">
        <v>285</v>
      </c>
      <c r="T287" s="139">
        <f>IF('kustannus-hyötyarviot'!$H$28-'kustannus-hyötyarviot'!$H$14&lt;0,1,'kustannus-hyötyarviot'!$H$28-'kustannus-hyötyarviot'!$H$14)</f>
        <v>210000</v>
      </c>
      <c r="U287" s="141" t="e">
        <f>IF(T287=1,-1,IRR($T$2:T287))</f>
        <v>#DIV/0!</v>
      </c>
      <c r="V287" s="142">
        <v>285</v>
      </c>
      <c r="W287" s="139">
        <f>IF('kustannus-hyötyarviot'!$D$30-'kustannus-hyötyarviot'!$H$14&lt;0,1,'kustannus-hyötyarviot'!$D$30-'kustannus-hyötyarviot'!$H$14)</f>
        <v>0</v>
      </c>
      <c r="X287" s="141" t="e">
        <f>IF(W287=1,-1,IRR($W$2:W287))</f>
        <v>#NUM!</v>
      </c>
    </row>
    <row r="288" spans="16:24" x14ac:dyDescent="0.25">
      <c r="P288" s="142">
        <v>286</v>
      </c>
      <c r="Q288" s="139">
        <f>IF('kustannus-hyötyarviot'!$D$26-'kustannus-hyötyarviot'!$H$14&lt;0,1,'kustannus-hyötyarviot'!$D$26-'kustannus-hyötyarviot'!$H$14)</f>
        <v>0</v>
      </c>
      <c r="R288" s="141" t="e">
        <f>IF(Q288=1,-1,IRR(Q$2:$Q288))</f>
        <v>#NUM!</v>
      </c>
      <c r="S288" s="142">
        <v>286</v>
      </c>
      <c r="T288" s="139">
        <f>IF('kustannus-hyötyarviot'!$H$28-'kustannus-hyötyarviot'!$H$14&lt;0,1,'kustannus-hyötyarviot'!$H$28-'kustannus-hyötyarviot'!$H$14)</f>
        <v>210000</v>
      </c>
      <c r="U288" s="141" t="e">
        <f>IF(T288=1,-1,IRR($T$2:T288))</f>
        <v>#DIV/0!</v>
      </c>
      <c r="V288" s="142">
        <v>286</v>
      </c>
      <c r="W288" s="139">
        <f>IF('kustannus-hyötyarviot'!$D$30-'kustannus-hyötyarviot'!$H$14&lt;0,1,'kustannus-hyötyarviot'!$D$30-'kustannus-hyötyarviot'!$H$14)</f>
        <v>0</v>
      </c>
      <c r="X288" s="141" t="e">
        <f>IF(W288=1,-1,IRR($W$2:W288))</f>
        <v>#NUM!</v>
      </c>
    </row>
    <row r="289" spans="16:24" x14ac:dyDescent="0.25">
      <c r="P289" s="142">
        <v>287</v>
      </c>
      <c r="Q289" s="139">
        <f>IF('kustannus-hyötyarviot'!$D$26-'kustannus-hyötyarviot'!$H$14&lt;0,1,'kustannus-hyötyarviot'!$D$26-'kustannus-hyötyarviot'!$H$14)</f>
        <v>0</v>
      </c>
      <c r="R289" s="141" t="e">
        <f>IF(Q289=1,-1,IRR(Q$2:$Q289))</f>
        <v>#NUM!</v>
      </c>
      <c r="S289" s="142">
        <v>287</v>
      </c>
      <c r="T289" s="139">
        <f>IF('kustannus-hyötyarviot'!$H$28-'kustannus-hyötyarviot'!$H$14&lt;0,1,'kustannus-hyötyarviot'!$H$28-'kustannus-hyötyarviot'!$H$14)</f>
        <v>210000</v>
      </c>
      <c r="U289" s="141" t="e">
        <f>IF(T289=1,-1,IRR($T$2:T289))</f>
        <v>#DIV/0!</v>
      </c>
      <c r="V289" s="142">
        <v>287</v>
      </c>
      <c r="W289" s="139">
        <f>IF('kustannus-hyötyarviot'!$D$30-'kustannus-hyötyarviot'!$H$14&lt;0,1,'kustannus-hyötyarviot'!$D$30-'kustannus-hyötyarviot'!$H$14)</f>
        <v>0</v>
      </c>
      <c r="X289" s="141" t="e">
        <f>IF(W289=1,-1,IRR($W$2:W289))</f>
        <v>#NUM!</v>
      </c>
    </row>
    <row r="290" spans="16:24" x14ac:dyDescent="0.25">
      <c r="P290" s="142">
        <v>288</v>
      </c>
      <c r="Q290" s="139">
        <f>IF('kustannus-hyötyarviot'!$D$26-'kustannus-hyötyarviot'!$H$14&lt;0,1,'kustannus-hyötyarviot'!$D$26-'kustannus-hyötyarviot'!$H$14)</f>
        <v>0</v>
      </c>
      <c r="R290" s="141" t="e">
        <f>IF(Q290=1,-1,IRR(Q$2:$Q290))</f>
        <v>#NUM!</v>
      </c>
      <c r="S290" s="142">
        <v>288</v>
      </c>
      <c r="T290" s="139">
        <f>IF('kustannus-hyötyarviot'!$H$28-'kustannus-hyötyarviot'!$H$14&lt;0,1,'kustannus-hyötyarviot'!$H$28-'kustannus-hyötyarviot'!$H$14)</f>
        <v>210000</v>
      </c>
      <c r="U290" s="141" t="e">
        <f>IF(T290=1,-1,IRR($T$2:T290))</f>
        <v>#DIV/0!</v>
      </c>
      <c r="V290" s="142">
        <v>288</v>
      </c>
      <c r="W290" s="139">
        <f>IF('kustannus-hyötyarviot'!$D$30-'kustannus-hyötyarviot'!$H$14&lt;0,1,'kustannus-hyötyarviot'!$D$30-'kustannus-hyötyarviot'!$H$14)</f>
        <v>0</v>
      </c>
      <c r="X290" s="141" t="e">
        <f>IF(W290=1,-1,IRR($W$2:W290))</f>
        <v>#NUM!</v>
      </c>
    </row>
    <row r="291" spans="16:24" x14ac:dyDescent="0.25">
      <c r="P291" s="142">
        <v>289</v>
      </c>
      <c r="Q291" s="139">
        <f>IF('kustannus-hyötyarviot'!$D$26-'kustannus-hyötyarviot'!$H$14&lt;0,1,'kustannus-hyötyarviot'!$D$26-'kustannus-hyötyarviot'!$H$14)</f>
        <v>0</v>
      </c>
      <c r="R291" s="141" t="e">
        <f>IF(Q291=1,-1,IRR(Q$2:$Q291))</f>
        <v>#NUM!</v>
      </c>
      <c r="S291" s="142">
        <v>289</v>
      </c>
      <c r="T291" s="139">
        <f>IF('kustannus-hyötyarviot'!$H$28-'kustannus-hyötyarviot'!$H$14&lt;0,1,'kustannus-hyötyarviot'!$H$28-'kustannus-hyötyarviot'!$H$14)</f>
        <v>210000</v>
      </c>
      <c r="U291" s="141" t="e">
        <f>IF(T291=1,-1,IRR($T$2:T291))</f>
        <v>#DIV/0!</v>
      </c>
      <c r="V291" s="142">
        <v>289</v>
      </c>
      <c r="W291" s="139">
        <f>IF('kustannus-hyötyarviot'!$D$30-'kustannus-hyötyarviot'!$H$14&lt;0,1,'kustannus-hyötyarviot'!$D$30-'kustannus-hyötyarviot'!$H$14)</f>
        <v>0</v>
      </c>
      <c r="X291" s="141" t="e">
        <f>IF(W291=1,-1,IRR($W$2:W291))</f>
        <v>#NUM!</v>
      </c>
    </row>
    <row r="292" spans="16:24" x14ac:dyDescent="0.25">
      <c r="P292" s="142">
        <v>290</v>
      </c>
      <c r="Q292" s="139">
        <f>IF('kustannus-hyötyarviot'!$D$26-'kustannus-hyötyarviot'!$H$14&lt;0,1,'kustannus-hyötyarviot'!$D$26-'kustannus-hyötyarviot'!$H$14)</f>
        <v>0</v>
      </c>
      <c r="R292" s="141" t="e">
        <f>IF(Q292=1,-1,IRR(Q$2:$Q292))</f>
        <v>#NUM!</v>
      </c>
      <c r="S292" s="142">
        <v>290</v>
      </c>
      <c r="T292" s="139">
        <f>IF('kustannus-hyötyarviot'!$H$28-'kustannus-hyötyarviot'!$H$14&lt;0,1,'kustannus-hyötyarviot'!$H$28-'kustannus-hyötyarviot'!$H$14)</f>
        <v>210000</v>
      </c>
      <c r="U292" s="141" t="e">
        <f>IF(T292=1,-1,IRR($T$2:T292))</f>
        <v>#DIV/0!</v>
      </c>
      <c r="V292" s="142">
        <v>290</v>
      </c>
      <c r="W292" s="139">
        <f>IF('kustannus-hyötyarviot'!$D$30-'kustannus-hyötyarviot'!$H$14&lt;0,1,'kustannus-hyötyarviot'!$D$30-'kustannus-hyötyarviot'!$H$14)</f>
        <v>0</v>
      </c>
      <c r="X292" s="141" t="e">
        <f>IF(W292=1,-1,IRR($W$2:W292))</f>
        <v>#NUM!</v>
      </c>
    </row>
    <row r="293" spans="16:24" x14ac:dyDescent="0.25">
      <c r="P293" s="142">
        <v>291</v>
      </c>
      <c r="Q293" s="139">
        <f>IF('kustannus-hyötyarviot'!$D$26-'kustannus-hyötyarviot'!$H$14&lt;0,1,'kustannus-hyötyarviot'!$D$26-'kustannus-hyötyarviot'!$H$14)</f>
        <v>0</v>
      </c>
      <c r="R293" s="141" t="e">
        <f>IF(Q293=1,-1,IRR(Q$2:$Q293))</f>
        <v>#NUM!</v>
      </c>
      <c r="S293" s="142">
        <v>291</v>
      </c>
      <c r="T293" s="139">
        <f>IF('kustannus-hyötyarviot'!$H$28-'kustannus-hyötyarviot'!$H$14&lt;0,1,'kustannus-hyötyarviot'!$H$28-'kustannus-hyötyarviot'!$H$14)</f>
        <v>210000</v>
      </c>
      <c r="U293" s="141" t="e">
        <f>IF(T293=1,-1,IRR($T$2:T293))</f>
        <v>#DIV/0!</v>
      </c>
      <c r="V293" s="142">
        <v>291</v>
      </c>
      <c r="W293" s="139">
        <f>IF('kustannus-hyötyarviot'!$D$30-'kustannus-hyötyarviot'!$H$14&lt;0,1,'kustannus-hyötyarviot'!$D$30-'kustannus-hyötyarviot'!$H$14)</f>
        <v>0</v>
      </c>
      <c r="X293" s="141" t="e">
        <f>IF(W293=1,-1,IRR($W$2:W293))</f>
        <v>#NUM!</v>
      </c>
    </row>
    <row r="294" spans="16:24" x14ac:dyDescent="0.25">
      <c r="P294" s="142">
        <v>292</v>
      </c>
      <c r="Q294" s="139">
        <f>IF('kustannus-hyötyarviot'!$D$26-'kustannus-hyötyarviot'!$H$14&lt;0,1,'kustannus-hyötyarviot'!$D$26-'kustannus-hyötyarviot'!$H$14)</f>
        <v>0</v>
      </c>
      <c r="R294" s="141" t="e">
        <f>IF(Q294=1,-1,IRR(Q$2:$Q294))</f>
        <v>#NUM!</v>
      </c>
      <c r="S294" s="142">
        <v>292</v>
      </c>
      <c r="T294" s="139">
        <f>IF('kustannus-hyötyarviot'!$H$28-'kustannus-hyötyarviot'!$H$14&lt;0,1,'kustannus-hyötyarviot'!$H$28-'kustannus-hyötyarviot'!$H$14)</f>
        <v>210000</v>
      </c>
      <c r="U294" s="141" t="e">
        <f>IF(T294=1,-1,IRR($T$2:T294))</f>
        <v>#DIV/0!</v>
      </c>
      <c r="V294" s="142">
        <v>292</v>
      </c>
      <c r="W294" s="139">
        <f>IF('kustannus-hyötyarviot'!$D$30-'kustannus-hyötyarviot'!$H$14&lt;0,1,'kustannus-hyötyarviot'!$D$30-'kustannus-hyötyarviot'!$H$14)</f>
        <v>0</v>
      </c>
      <c r="X294" s="141" t="e">
        <f>IF(W294=1,-1,IRR($W$2:W294))</f>
        <v>#NUM!</v>
      </c>
    </row>
    <row r="295" spans="16:24" x14ac:dyDescent="0.25">
      <c r="P295" s="142">
        <v>293</v>
      </c>
      <c r="Q295" s="139">
        <f>IF('kustannus-hyötyarviot'!$D$26-'kustannus-hyötyarviot'!$H$14&lt;0,1,'kustannus-hyötyarviot'!$D$26-'kustannus-hyötyarviot'!$H$14)</f>
        <v>0</v>
      </c>
      <c r="R295" s="141" t="e">
        <f>IF(Q295=1,-1,IRR(Q$2:$Q295))</f>
        <v>#NUM!</v>
      </c>
      <c r="S295" s="142">
        <v>293</v>
      </c>
      <c r="T295" s="139">
        <f>IF('kustannus-hyötyarviot'!$H$28-'kustannus-hyötyarviot'!$H$14&lt;0,1,'kustannus-hyötyarviot'!$H$28-'kustannus-hyötyarviot'!$H$14)</f>
        <v>210000</v>
      </c>
      <c r="U295" s="141" t="e">
        <f>IF(T295=1,-1,IRR($T$2:T295))</f>
        <v>#DIV/0!</v>
      </c>
      <c r="V295" s="142">
        <v>293</v>
      </c>
      <c r="W295" s="139">
        <f>IF('kustannus-hyötyarviot'!$D$30-'kustannus-hyötyarviot'!$H$14&lt;0,1,'kustannus-hyötyarviot'!$D$30-'kustannus-hyötyarviot'!$H$14)</f>
        <v>0</v>
      </c>
      <c r="X295" s="141" t="e">
        <f>IF(W295=1,-1,IRR($W$2:W295))</f>
        <v>#NUM!</v>
      </c>
    </row>
    <row r="296" spans="16:24" x14ac:dyDescent="0.25">
      <c r="P296" s="142">
        <v>294</v>
      </c>
      <c r="Q296" s="139">
        <f>IF('kustannus-hyötyarviot'!$D$26-'kustannus-hyötyarviot'!$H$14&lt;0,1,'kustannus-hyötyarviot'!$D$26-'kustannus-hyötyarviot'!$H$14)</f>
        <v>0</v>
      </c>
      <c r="R296" s="141" t="e">
        <f>IF(Q296=1,-1,IRR(Q$2:$Q296))</f>
        <v>#NUM!</v>
      </c>
      <c r="S296" s="142">
        <v>294</v>
      </c>
      <c r="T296" s="139">
        <f>IF('kustannus-hyötyarviot'!$H$28-'kustannus-hyötyarviot'!$H$14&lt;0,1,'kustannus-hyötyarviot'!$H$28-'kustannus-hyötyarviot'!$H$14)</f>
        <v>210000</v>
      </c>
      <c r="U296" s="141" t="e">
        <f>IF(T296=1,-1,IRR($T$2:T296))</f>
        <v>#DIV/0!</v>
      </c>
      <c r="V296" s="142">
        <v>294</v>
      </c>
      <c r="W296" s="139">
        <f>IF('kustannus-hyötyarviot'!$D$30-'kustannus-hyötyarviot'!$H$14&lt;0,1,'kustannus-hyötyarviot'!$D$30-'kustannus-hyötyarviot'!$H$14)</f>
        <v>0</v>
      </c>
      <c r="X296" s="141" t="e">
        <f>IF(W296=1,-1,IRR($W$2:W296))</f>
        <v>#NUM!</v>
      </c>
    </row>
    <row r="297" spans="16:24" x14ac:dyDescent="0.25">
      <c r="P297" s="142">
        <v>295</v>
      </c>
      <c r="Q297" s="139">
        <f>IF('kustannus-hyötyarviot'!$D$26-'kustannus-hyötyarviot'!$H$14&lt;0,1,'kustannus-hyötyarviot'!$D$26-'kustannus-hyötyarviot'!$H$14)</f>
        <v>0</v>
      </c>
      <c r="R297" s="141" t="e">
        <f>IF(Q297=1,-1,IRR(Q$2:$Q297))</f>
        <v>#NUM!</v>
      </c>
      <c r="S297" s="142">
        <v>295</v>
      </c>
      <c r="T297" s="139">
        <f>IF('kustannus-hyötyarviot'!$H$28-'kustannus-hyötyarviot'!$H$14&lt;0,1,'kustannus-hyötyarviot'!$H$28-'kustannus-hyötyarviot'!$H$14)</f>
        <v>210000</v>
      </c>
      <c r="U297" s="141" t="e">
        <f>IF(T297=1,-1,IRR($T$2:T297))</f>
        <v>#DIV/0!</v>
      </c>
      <c r="V297" s="142">
        <v>295</v>
      </c>
      <c r="W297" s="139">
        <f>IF('kustannus-hyötyarviot'!$D$30-'kustannus-hyötyarviot'!$H$14&lt;0,1,'kustannus-hyötyarviot'!$D$30-'kustannus-hyötyarviot'!$H$14)</f>
        <v>0</v>
      </c>
      <c r="X297" s="141" t="e">
        <f>IF(W297=1,-1,IRR($W$2:W297))</f>
        <v>#NUM!</v>
      </c>
    </row>
    <row r="298" spans="16:24" x14ac:dyDescent="0.25">
      <c r="P298" s="142">
        <v>296</v>
      </c>
      <c r="Q298" s="139">
        <f>IF('kustannus-hyötyarviot'!$D$26-'kustannus-hyötyarviot'!$H$14&lt;0,1,'kustannus-hyötyarviot'!$D$26-'kustannus-hyötyarviot'!$H$14)</f>
        <v>0</v>
      </c>
      <c r="R298" s="141" t="e">
        <f>IF(Q298=1,-1,IRR(Q$2:$Q298))</f>
        <v>#NUM!</v>
      </c>
      <c r="S298" s="142">
        <v>296</v>
      </c>
      <c r="T298" s="139">
        <f>IF('kustannus-hyötyarviot'!$H$28-'kustannus-hyötyarviot'!$H$14&lt;0,1,'kustannus-hyötyarviot'!$H$28-'kustannus-hyötyarviot'!$H$14)</f>
        <v>210000</v>
      </c>
      <c r="U298" s="141" t="e">
        <f>IF(T298=1,-1,IRR($T$2:T298))</f>
        <v>#DIV/0!</v>
      </c>
      <c r="V298" s="142">
        <v>296</v>
      </c>
      <c r="W298" s="139">
        <f>IF('kustannus-hyötyarviot'!$D$30-'kustannus-hyötyarviot'!$H$14&lt;0,1,'kustannus-hyötyarviot'!$D$30-'kustannus-hyötyarviot'!$H$14)</f>
        <v>0</v>
      </c>
      <c r="X298" s="141" t="e">
        <f>IF(W298=1,-1,IRR($W$2:W298))</f>
        <v>#NUM!</v>
      </c>
    </row>
    <row r="299" spans="16:24" x14ac:dyDescent="0.25">
      <c r="P299" s="142">
        <v>297</v>
      </c>
      <c r="Q299" s="139">
        <f>IF('kustannus-hyötyarviot'!$D$26-'kustannus-hyötyarviot'!$H$14&lt;0,1,'kustannus-hyötyarviot'!$D$26-'kustannus-hyötyarviot'!$H$14)</f>
        <v>0</v>
      </c>
      <c r="R299" s="141" t="e">
        <f>IF(Q299=1,-1,IRR(Q$2:$Q299))</f>
        <v>#NUM!</v>
      </c>
      <c r="S299" s="142">
        <v>297</v>
      </c>
      <c r="T299" s="139">
        <f>IF('kustannus-hyötyarviot'!$H$28-'kustannus-hyötyarviot'!$H$14&lt;0,1,'kustannus-hyötyarviot'!$H$28-'kustannus-hyötyarviot'!$H$14)</f>
        <v>210000</v>
      </c>
      <c r="U299" s="141" t="e">
        <f>IF(T299=1,-1,IRR($T$2:T299))</f>
        <v>#DIV/0!</v>
      </c>
      <c r="V299" s="142">
        <v>297</v>
      </c>
      <c r="W299" s="139">
        <f>IF('kustannus-hyötyarviot'!$D$30-'kustannus-hyötyarviot'!$H$14&lt;0,1,'kustannus-hyötyarviot'!$D$30-'kustannus-hyötyarviot'!$H$14)</f>
        <v>0</v>
      </c>
      <c r="X299" s="141" t="e">
        <f>IF(W299=1,-1,IRR($W$2:W299))</f>
        <v>#NUM!</v>
      </c>
    </row>
    <row r="300" spans="16:24" x14ac:dyDescent="0.25">
      <c r="P300" s="142">
        <v>298</v>
      </c>
      <c r="Q300" s="139">
        <f>IF('kustannus-hyötyarviot'!$D$26-'kustannus-hyötyarviot'!$H$14&lt;0,1,'kustannus-hyötyarviot'!$D$26-'kustannus-hyötyarviot'!$H$14)</f>
        <v>0</v>
      </c>
      <c r="R300" s="141" t="e">
        <f>IF(Q300=1,-1,IRR(Q$2:$Q300))</f>
        <v>#NUM!</v>
      </c>
      <c r="S300" s="142">
        <v>298</v>
      </c>
      <c r="T300" s="139">
        <f>IF('kustannus-hyötyarviot'!$H$28-'kustannus-hyötyarviot'!$H$14&lt;0,1,'kustannus-hyötyarviot'!$H$28-'kustannus-hyötyarviot'!$H$14)</f>
        <v>210000</v>
      </c>
      <c r="U300" s="141" t="e">
        <f>IF(T300=1,-1,IRR($T$2:T300))</f>
        <v>#DIV/0!</v>
      </c>
      <c r="V300" s="142">
        <v>298</v>
      </c>
      <c r="W300" s="139">
        <f>IF('kustannus-hyötyarviot'!$D$30-'kustannus-hyötyarviot'!$H$14&lt;0,1,'kustannus-hyötyarviot'!$D$30-'kustannus-hyötyarviot'!$H$14)</f>
        <v>0</v>
      </c>
      <c r="X300" s="141" t="e">
        <f>IF(W300=1,-1,IRR($W$2:W300))</f>
        <v>#NUM!</v>
      </c>
    </row>
    <row r="301" spans="16:24" x14ac:dyDescent="0.25">
      <c r="P301" s="142">
        <v>299</v>
      </c>
      <c r="Q301" s="139">
        <f>IF('kustannus-hyötyarviot'!$D$26-'kustannus-hyötyarviot'!$H$14&lt;0,1,'kustannus-hyötyarviot'!$D$26-'kustannus-hyötyarviot'!$H$14)</f>
        <v>0</v>
      </c>
      <c r="R301" s="141" t="e">
        <f>IF(Q301=1,-1,IRR(Q$2:$Q301))</f>
        <v>#NUM!</v>
      </c>
      <c r="S301" s="142">
        <v>299</v>
      </c>
      <c r="T301" s="139">
        <f>IF('kustannus-hyötyarviot'!$H$28-'kustannus-hyötyarviot'!$H$14&lt;0,1,'kustannus-hyötyarviot'!$H$28-'kustannus-hyötyarviot'!$H$14)</f>
        <v>210000</v>
      </c>
      <c r="U301" s="141" t="e">
        <f>IF(T301=1,-1,IRR($T$2:T301))</f>
        <v>#DIV/0!</v>
      </c>
      <c r="V301" s="142">
        <v>299</v>
      </c>
      <c r="W301" s="139">
        <f>IF('kustannus-hyötyarviot'!$D$30-'kustannus-hyötyarviot'!$H$14&lt;0,1,'kustannus-hyötyarviot'!$D$30-'kustannus-hyötyarviot'!$H$14)</f>
        <v>0</v>
      </c>
      <c r="X301" s="141" t="e">
        <f>IF(W301=1,-1,IRR($W$2:W301))</f>
        <v>#NUM!</v>
      </c>
    </row>
    <row r="302" spans="16:24" x14ac:dyDescent="0.25">
      <c r="P302" s="142">
        <v>300</v>
      </c>
      <c r="Q302" s="139">
        <f>IF('kustannus-hyötyarviot'!$D$26-'kustannus-hyötyarviot'!$H$14&lt;0,1,'kustannus-hyötyarviot'!$D$26-'kustannus-hyötyarviot'!$H$14)</f>
        <v>0</v>
      </c>
      <c r="R302" s="141" t="e">
        <f>IF(Q302=1,-1,IRR(Q$2:$Q302))</f>
        <v>#NUM!</v>
      </c>
      <c r="S302" s="142">
        <v>300</v>
      </c>
      <c r="T302" s="139">
        <f>IF('kustannus-hyötyarviot'!$H$28-'kustannus-hyötyarviot'!$H$14&lt;0,1,'kustannus-hyötyarviot'!$H$28-'kustannus-hyötyarviot'!$H$14)</f>
        <v>210000</v>
      </c>
      <c r="U302" s="141" t="e">
        <f>IF(T302=1,-1,IRR($T$2:T302))</f>
        <v>#DIV/0!</v>
      </c>
      <c r="V302" s="142">
        <v>300</v>
      </c>
      <c r="W302" s="139">
        <f>IF('kustannus-hyötyarviot'!$D$30-'kustannus-hyötyarviot'!$H$14&lt;0,1,'kustannus-hyötyarviot'!$D$30-'kustannus-hyötyarviot'!$H$14)</f>
        <v>0</v>
      </c>
      <c r="X302" s="141" t="e">
        <f>IF(W302=1,-1,IRR($W$2:W302))</f>
        <v>#NUM!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hyöty-vahinkoarviot</vt:lpstr>
      <vt:lpstr>lähtötiedot</vt:lpstr>
      <vt:lpstr>kustannus-hyötyarviot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2016-08-05T11:49:32Z</dcterms:created>
  <dcterms:modified xsi:type="dcterms:W3CDTF">2019-06-03T07:09:43Z</dcterms:modified>
</cp:coreProperties>
</file>